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010" tabRatio="606" activeTab="0"/>
  </bookViews>
  <sheets>
    <sheet name="PLANILHA QUADRA MODELO 3" sheetId="1" r:id="rId1"/>
    <sheet name="CRONOGRAMA FÍSICO FINANCEIRO" sheetId="2" r:id="rId2"/>
  </sheets>
  <definedNames>
    <definedName name="__Anonymous_Sheet_DB__1">'PLANILHA QUADRA MODELO 3'!$G$1:$G$64238</definedName>
    <definedName name="__Anonymous_Sheet_DB__2">'PLANILHA QUADRA MODELO 3'!$B$1:$J$64238</definedName>
    <definedName name="_xlnm._FilterDatabase" localSheetId="0" hidden="1">'PLANILHA QUADRA MODELO 3'!$G$1:$G$64238</definedName>
    <definedName name="_xlnm.Print_Area" localSheetId="1">'CRONOGRAMA FÍSICO FINANCEIRO'!$A$1:$Y$31</definedName>
    <definedName name="_xlnm.Print_Area" localSheetId="0">'PLANILHA QUADRA MODELO 3'!$A$1:$I$467</definedName>
    <definedName name="Excel_BuiltIn__FilterDatabase" localSheetId="0">'PLANILHA QUADRA MODELO 3'!$H$5:$J$8</definedName>
    <definedName name="Excel_BuiltIn_Print_Area" localSheetId="0">'PLANILHA QUADRA MODELO 3'!$A$1:$J$462</definedName>
    <definedName name="_xlnm.Print_Titles" localSheetId="0">'PLANILHA QUADRA MODELO 3'!$1:$5</definedName>
  </definedNames>
  <calcPr fullCalcOnLoad="1"/>
</workbook>
</file>

<file path=xl/sharedStrings.xml><?xml version="1.0" encoding="utf-8"?>
<sst xmlns="http://schemas.openxmlformats.org/spreadsheetml/2006/main" count="701" uniqueCount="540">
  <si>
    <t>ISS</t>
  </si>
  <si>
    <t>SERVIÇOS:Construção de quadra poliesportiva</t>
  </si>
  <si>
    <t>ITEM</t>
  </si>
  <si>
    <t>DESCRIÇÃO</t>
  </si>
  <si>
    <t>UNID.</t>
  </si>
  <si>
    <t>ANALISADO</t>
  </si>
  <si>
    <t>LOCAL DE INTERVENÇÃO</t>
  </si>
  <si>
    <t>QUANT.</t>
  </si>
  <si>
    <t>PREÇO UNITÁRIO</t>
  </si>
  <si>
    <t>TOTAL</t>
  </si>
  <si>
    <t>MEMÓRIA DE CALCULO</t>
  </si>
  <si>
    <t>010000</t>
  </si>
  <si>
    <t>INSTALAÇÃO DOS SERVIÇOS DE ENGENHARIA</t>
  </si>
  <si>
    <t>010001</t>
  </si>
  <si>
    <t>Locação dos serviços de engenharia: execução de gabarito</t>
  </si>
  <si>
    <t>M²</t>
  </si>
  <si>
    <t>Área de projeção da quadra</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</si>
  <si>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</si>
  <si>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010003</t>
  </si>
  <si>
    <t>Fornecimento e colocação de placa dos serviços de engenharia em chapa galvanizada (3,00 X 1,50m)   -  Governo do Estado  -  (Ampliação e / ou Reforma acima de R$ 30.000,00)</t>
  </si>
  <si>
    <t>UN</t>
  </si>
  <si>
    <t>Rente ao muro de divisa da escola</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</si>
  <si>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</si>
  <si>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</si>
  <si>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</si>
  <si>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</si>
  <si>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31*21+3*3</t>
  </si>
  <si>
    <t>Área de implantação da quadra</t>
  </si>
  <si>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</si>
  <si>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010006</t>
  </si>
  <si>
    <t>Barracão em madeira, piso cimentado e cobertura em telhas de fibrocimento ondulada</t>
  </si>
  <si>
    <t>3,3*3,3</t>
  </si>
  <si>
    <t>Local a ser definido com a fiscalização</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</si>
  <si>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</si>
  <si>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SUB-TOTAL =</t>
  </si>
  <si>
    <t>030000</t>
  </si>
  <si>
    <t>TRABALHOS EM TERRA</t>
  </si>
  <si>
    <t>030001</t>
  </si>
  <si>
    <t>Aterro Compactado manual, com soquete</t>
  </si>
  <si>
    <r>
      <t>M</t>
    </r>
    <r>
      <rPr>
        <vertAlign val="superscript"/>
        <sz val="14"/>
        <rFont val="Calibri"/>
        <family val="2"/>
      </rPr>
      <t>3</t>
    </r>
  </si>
  <si>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</si>
  <si>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</si>
  <si>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</si>
  <si>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Baldrames,blocos e coroamento</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</si>
  <si>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</si>
  <si>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</si>
  <si>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</si>
  <si>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3,14*1,3*1,3*1,7</t>
  </si>
  <si>
    <t>Reservatório de água pluvial</t>
  </si>
  <si>
    <t>Será medido pelo volume real escavado (m³).
O item remunera o fornecimento da mão-de-obra necessária para a escavação manual em solo, de primeira ou segunda categoria, em campo aberto.</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</si>
  <si>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</si>
  <si>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</si>
  <si>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</si>
  <si>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</si>
  <si>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</si>
  <si>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</si>
  <si>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 xml:space="preserve"> </t>
  </si>
  <si>
    <t>040000</t>
  </si>
  <si>
    <t>SONDAGEM, FUNDAÇÕES, MUROS E CONTENÇÕES</t>
  </si>
  <si>
    <t>040001</t>
  </si>
  <si>
    <r>
      <t>Armadura de aço, CA 50, corte e dobra no canteiro</t>
    </r>
    <r>
      <rPr>
        <sz val="12"/>
        <rFont val="Calibri"/>
        <family val="2"/>
      </rPr>
      <t xml:space="preserve">                                                                                                                    </t>
    </r>
  </si>
  <si>
    <t>KG</t>
  </si>
  <si>
    <t>Fundação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</si>
  <si>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</si>
  <si>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</si>
  <si>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</si>
  <si>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</si>
  <si>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</si>
  <si>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</si>
  <si>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3,14*1,3*1,3*0,08</t>
  </si>
  <si>
    <t>Laje reservatório subterrâneo</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</si>
  <si>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</si>
  <si>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</si>
  <si>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</si>
  <si>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</si>
  <si>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</si>
  <si>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</si>
  <si>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</si>
  <si>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</si>
  <si>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</si>
  <si>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</si>
  <si>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</si>
  <si>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</si>
  <si>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</si>
  <si>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</si>
  <si>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</si>
  <si>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</si>
  <si>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</si>
  <si>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</si>
  <si>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</si>
  <si>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</si>
  <si>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</si>
  <si>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</si>
  <si>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050009</t>
  </si>
  <si>
    <t>Laje pré-fabricada treliçada para piso, intereixo 50 cm e=25cm (capeamento 5 cm e elemento cerâmico 20 cm) sobrecarga mínima 300 Kgf / m²</t>
  </si>
  <si>
    <t>Laje arquibancada, palco, instalações sanitárias, depósito e camarim</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</si>
  <si>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</si>
  <si>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060000</t>
  </si>
  <si>
    <t>ALVENARIA</t>
  </si>
  <si>
    <t>060100</t>
  </si>
  <si>
    <t>Execução de:</t>
  </si>
  <si>
    <t>060107</t>
  </si>
  <si>
    <t xml:space="preserve">Alvenaria de vedação com bloco de concreto, 14x19x39 cm, espessura da parede 14 cm, juntas de 10mm com argamassa mista de cimento, cal hidratada e areia sem peneirar traço 1:0,5:8 </t>
  </si>
  <si>
    <t>Alvenaria conforme consta  em projeto</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</si>
  <si>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</si>
  <si>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070000</t>
  </si>
  <si>
    <t>COBERTURA E FORRO</t>
  </si>
  <si>
    <t>070100</t>
  </si>
  <si>
    <t xml:space="preserve">Fornecimento, transporte e colocação de telhas, tipo: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</si>
  <si>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</si>
  <si>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</si>
  <si>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</si>
  <si>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070403</t>
  </si>
  <si>
    <t>Calha de chapa galvanizada, nº 24 desenvolvimento 60 cm</t>
  </si>
  <si>
    <t>28*2</t>
  </si>
  <si>
    <t>Nas duas águas da cobertura</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</si>
  <si>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</si>
  <si>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</si>
  <si>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</si>
  <si>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070502</t>
  </si>
  <si>
    <t>Condutor de água (tubo de PVC branco, com conexões, ponta bolsa e virola, diâmetro da seção 100mm)</t>
  </si>
  <si>
    <t>8*6</t>
  </si>
  <si>
    <t>8 descidas de água pluvial da cobertura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</si>
  <si>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</si>
  <si>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</si>
  <si>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</si>
  <si>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</si>
  <si>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</si>
  <si>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</si>
  <si>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</si>
  <si>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080105</t>
  </si>
  <si>
    <t>Torneira de boia para Caixa d'água Ø 32mm.</t>
  </si>
  <si>
    <t>Reservatório superior</t>
  </si>
  <si>
    <t>Será medido por unidade de torneira instalada (un).
O item remunera o fornecimento e a instalação da torneira de bóia, com diâmetro nominal de 1", inclusive material de vedação.</t>
  </si>
  <si>
    <t>080200</t>
  </si>
  <si>
    <t>Fornecimento e instalação de:</t>
  </si>
  <si>
    <t>080201</t>
  </si>
  <si>
    <t>Válvula de descarga metálica com registro interno e canopla,D: 32mm (1 1/4") ou 40mm (1 1/2)</t>
  </si>
  <si>
    <t>Instlalação sanitária</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</si>
  <si>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</si>
  <si>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080207</t>
  </si>
  <si>
    <t>Lavatório de louça, sem coluna completa para fixação direta.</t>
  </si>
  <si>
    <t>Instalação sanitária PNE</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</si>
  <si>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</si>
  <si>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</si>
  <si>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</si>
  <si>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</si>
  <si>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</si>
  <si>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</si>
  <si>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</si>
  <si>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080407</t>
  </si>
  <si>
    <t>Com canopla diâmetro 20mm (3/4") - (acabamento cromado)</t>
  </si>
  <si>
    <t>Bebedouro</t>
  </si>
  <si>
    <t>080410</t>
  </si>
  <si>
    <t>Com canopla diâmetro 40mm (1 1/2") - (acabamento cromado)</t>
  </si>
  <si>
    <t xml:space="preserve">Instlalação sanitária </t>
  </si>
  <si>
    <t>080500</t>
  </si>
  <si>
    <t>Serviços de fixação de:</t>
  </si>
  <si>
    <t>080600</t>
  </si>
  <si>
    <t>Fornecimento, transporte e instalação de:</t>
  </si>
  <si>
    <t>080601</t>
  </si>
  <si>
    <t>Conjunto elevatório motor-bomba (bomba centrífuga) de 3/4 HP</t>
  </si>
  <si>
    <t>Eletrobomba reservatório subterrâneo</t>
  </si>
  <si>
    <t xml:space="preserve">Será medido por unidade de conjunto motor-bomba instalado e testado de acordo com a vazão exigida em projeto (un).
O item remunera o fornecimento e instalação de conjunto motor-bomba centrífuga com multiestágio trifásico, potência de 13/4HP,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</si>
  <si>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</si>
  <si>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</si>
  <si>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</si>
  <si>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080705</t>
  </si>
  <si>
    <t>Tubo PVC soldável  25mm (com conexões), incluindo serviços de rasgo e enchimento de rasgo em alvenaria com argamassa para passagem de tubulação</t>
  </si>
  <si>
    <t>Alimentação instalação sanitária e bebedouro</t>
  </si>
  <si>
    <t>080707</t>
  </si>
  <si>
    <t>Tubo PVC soldável  40mm (com conexões), incluindo serviços de rasgo e enchimento de rasgo em alvenaria com argamassa para passagem de tubulação</t>
  </si>
  <si>
    <t>Alimentação instalação sanitária</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</si>
  <si>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</si>
  <si>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</si>
  <si>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</si>
  <si>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</si>
  <si>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</si>
  <si>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Instalaçao sanitária</t>
  </si>
  <si>
    <t>080805</t>
  </si>
  <si>
    <t xml:space="preserve">Em fibra de vidro cilíndrico com tampa, capacidade 5.000 litros </t>
  </si>
  <si>
    <t>Reservatório subterrâneo de água pluvial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</si>
  <si>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</si>
  <si>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</si>
  <si>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</si>
  <si>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</si>
  <si>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</si>
  <si>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</si>
  <si>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</si>
  <si>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</si>
  <si>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</si>
  <si>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</si>
  <si>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</si>
  <si>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</si>
  <si>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</si>
  <si>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</si>
  <si>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Instalação sanitária</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</si>
  <si>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</si>
  <si>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090000</t>
  </si>
  <si>
    <t>INSTALAÇÕES SANITÁRIAS</t>
  </si>
  <si>
    <t>090100</t>
  </si>
  <si>
    <t>090101</t>
  </si>
  <si>
    <t>Caixa de Inspeção ou passagem em alvenaria  60 X 60 X 60 cm, inclusive tampa em concreto, escavação, reaterro e bota-fora</t>
  </si>
  <si>
    <t>9 caixas drenagem pluvial, 1 caixas instalação sanitária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</si>
  <si>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</si>
  <si>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</si>
  <si>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</si>
  <si>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</si>
  <si>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</si>
  <si>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</si>
  <si>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Esgoto bebedouro e Instalações sanitárias</t>
  </si>
  <si>
    <t>090304</t>
  </si>
  <si>
    <t>Diâmetro de 100 mm</t>
  </si>
  <si>
    <t>Esgoto e drenagem água pluvial</t>
  </si>
  <si>
    <t>090305</t>
  </si>
  <si>
    <t>Diâmetro de 150 mm</t>
  </si>
  <si>
    <t>Extravassor do reservatório subterrâneo</t>
  </si>
  <si>
    <t>090400</t>
  </si>
  <si>
    <t>Outros:</t>
  </si>
  <si>
    <t>090500</t>
  </si>
  <si>
    <t>Fornecimento e instalação de caixa sifonada:</t>
  </si>
  <si>
    <t>090501</t>
  </si>
  <si>
    <t>Em PVC, com grelha quadrada/redonda,150x150x75mm</t>
  </si>
  <si>
    <t>Será medido por unidade caixa instalada (un).
O item remunera o fornecimento e instalação da caixa sifonada, em PVC rígido, de 150 x 150 x 75 mm, inclusive grelha metálica e o material necessário para sua ligação à rede de esgoto.</t>
  </si>
  <si>
    <t>INSTALAÇÃO ELÉTRICA</t>
  </si>
  <si>
    <t>100100</t>
  </si>
  <si>
    <t>Fornecimento e instalação de globo tipo drops:</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</si>
  <si>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</si>
  <si>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</si>
  <si>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inclusive materiais acessórios e a mão-de-obra necessária para a instalação da luminária; inclusive o fornecimento de lâmpada e reator e teste de funcionamento.</t>
  </si>
  <si>
    <t>100302</t>
  </si>
  <si>
    <t>Luminária fluorescente completa com 2 lâmpadas de 20W ou 16W, tipo calha de sobrepor</t>
  </si>
  <si>
    <t xml:space="preserve">Instalação sanitária,depósito </t>
  </si>
  <si>
    <t>100400</t>
  </si>
  <si>
    <t>Fornecimento e instalação interruptor e tomadas, inclusive placa:</t>
  </si>
  <si>
    <t>100401</t>
  </si>
  <si>
    <t>Tomada universal 2 P+T</t>
  </si>
  <si>
    <t>Bebedoruos, palco,depósito, instalação sanitária</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</si>
  <si>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</si>
  <si>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100403</t>
  </si>
  <si>
    <t xml:space="preserve">01 tecla simples 10A - 250V </t>
  </si>
  <si>
    <t>Luminárias e conjunto motobomba</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</si>
  <si>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</si>
  <si>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</si>
  <si>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</si>
  <si>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</si>
  <si>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</si>
  <si>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</si>
  <si>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QDC</t>
  </si>
  <si>
    <t>100503</t>
  </si>
  <si>
    <t>Bipolar de 10 a 50 A</t>
  </si>
  <si>
    <t>100506</t>
  </si>
  <si>
    <t>Disjuntor de proteção diferencial residual (DR), bipolar, tipo DIN, corrente nominal de 25a,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</si>
  <si>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</si>
  <si>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</si>
  <si>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</si>
  <si>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100602</t>
  </si>
  <si>
    <r>
      <t>Isolado de PVC seção 2,5 mm</t>
    </r>
    <r>
      <rPr>
        <b/>
        <vertAlign val="superscript"/>
        <sz val="12"/>
        <rFont val="Calibri"/>
        <family val="2"/>
      </rPr>
      <t xml:space="preserve">2 </t>
    </r>
  </si>
  <si>
    <t>(5*2*2+22*2+5*3*2+10*3*3+25*3)</t>
  </si>
  <si>
    <t>Luminárias e tomadas</t>
  </si>
  <si>
    <t>100603</t>
  </si>
  <si>
    <r>
      <t>Isolado de PVC seção 4,0 mm</t>
    </r>
    <r>
      <rPr>
        <b/>
        <vertAlign val="superscript"/>
        <sz val="12"/>
        <rFont val="Calibri"/>
        <family val="2"/>
      </rPr>
      <t>2</t>
    </r>
  </si>
  <si>
    <t>(28*2*2+7*2+25*2+56*2)</t>
  </si>
  <si>
    <t xml:space="preserve">Refletores e alimentação eletrobomba </t>
  </si>
  <si>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</si>
  <si>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</si>
  <si>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</si>
  <si>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</si>
  <si>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</si>
  <si>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45*3</t>
  </si>
  <si>
    <t>Entrada de energia ao QDC</t>
  </si>
  <si>
    <t>100707</t>
  </si>
  <si>
    <t xml:space="preserve">Cobre nú # 10mm² para aterramento </t>
  </si>
  <si>
    <t>Aterramento QDC</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</si>
  <si>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</si>
  <si>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</si>
  <si>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</si>
  <si>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</si>
  <si>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</si>
  <si>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</si>
  <si>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28*2+7+25+56</t>
  </si>
  <si>
    <t>Circuitos dos refletores e alimentação eletrobomba</t>
  </si>
  <si>
    <t>100904</t>
  </si>
  <si>
    <t>Diâmetro 40mm (1 1/2")</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</si>
  <si>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</si>
  <si>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</si>
  <si>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</si>
  <si>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101002</t>
  </si>
  <si>
    <t>Diâmetro 25mm (3/4")</t>
  </si>
  <si>
    <t>Circuitos internos a quadra</t>
  </si>
  <si>
    <t>101202</t>
  </si>
  <si>
    <t>Caixa de passagem 4"x 2" sem placa</t>
  </si>
  <si>
    <t>Será medido por unidade de caixa instalada (un).
O item remunera o fornecimento e instalação de caixa estampada de 4" x 2", em chapa de aço nº 18, esmaltada à quente interna e externamente, com olhais para fixação dos eletrodutos e orelhas para fixação de espelho.</t>
  </si>
  <si>
    <t>101204</t>
  </si>
  <si>
    <t>Caixa octogonal p/ teto (laje maciça ou pré fabricada)</t>
  </si>
  <si>
    <t>Será medido por unidade de caixa instalada (un).
O item remunera o fornecimento e instalação de caixa estampada octogonal com fundo móvel de 4 "x 4", em chapa de aço nº 18, esmaltada à quente interna e externamente, com olhais para fixação dos eletrodutos e orelhas para fixação de espelho.</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</si>
  <si>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</si>
  <si>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</si>
  <si>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</si>
  <si>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</si>
  <si>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</si>
  <si>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</si>
  <si>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101404</t>
  </si>
  <si>
    <r>
      <t>Quadro de distribuição de luz em</t>
    </r>
    <r>
      <rPr>
        <b/>
        <u val="single"/>
        <sz val="12"/>
        <rFont val="Calibri"/>
        <family val="2"/>
      </rPr>
      <t xml:space="preserve"> </t>
    </r>
    <r>
      <rPr>
        <b/>
        <i/>
        <sz val="12"/>
        <rFont val="Calibri"/>
        <family val="2"/>
      </rPr>
      <t>chapa de aço de sobrepor ou embutir, até 20 divisões modulares</t>
    </r>
  </si>
  <si>
    <t>120000</t>
  </si>
  <si>
    <t>ESQUADRIAS METÁLICAS</t>
  </si>
  <si>
    <t>120100</t>
  </si>
  <si>
    <t>120101</t>
  </si>
  <si>
    <t>Passa prato / Porta / portão de ferro, completo</t>
  </si>
  <si>
    <t>0,8*2,1+1*2,1*2</t>
  </si>
  <si>
    <t>Instalação sanitária e depósito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</si>
  <si>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</si>
  <si>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120103</t>
  </si>
  <si>
    <t>Janela de ferro completa, colocação e acabamento basculante</t>
  </si>
  <si>
    <t>,8*1*4</t>
  </si>
  <si>
    <t>Depósito e instalação sanitária</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</si>
  <si>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</si>
  <si>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FERRAGENS</t>
  </si>
  <si>
    <t>Fornecimento e colocação de:</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</si>
  <si>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</si>
  <si>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</si>
  <si>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</si>
  <si>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</si>
  <si>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</si>
  <si>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</si>
  <si>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</si>
  <si>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</si>
  <si>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</si>
  <si>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</si>
  <si>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</si>
  <si>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</si>
  <si>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</si>
  <si>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</si>
  <si>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</si>
  <si>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</si>
  <si>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(1,82*3*2+2,11*3*2)*2</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</si>
  <si>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</si>
  <si>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</si>
  <si>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</si>
  <si>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(28-4,7-1,6)*1,5*4+18*3+18*1,5*2+21,62*4*0,5+(3,75+1,66)*0,5*2+2,58*3+2,58*2,5*2+4,5*4*3+3,74*2,35*2+1,24*2,5+8,24*0,52+4,7*2*3+4,78*3*3+1,82*4+4,78*1,82+3,74*2,58-1,6*1,5+4,78*1+2,02*1-(1,82*3*2+2,11*3*2)*2</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</si>
  <si>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</si>
  <si>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140104</t>
  </si>
  <si>
    <t>Chapisco com argamassa 1:3 cimento e areia, a colher</t>
  </si>
  <si>
    <t>(28-4,7-1,6)*1,5*4+18*3+18*1,5*2+21,62*4*0,5+(3,75+1,66)*0,5*2+2,58*3+2,58*2,5*2+4,5*4*3+3,74*2,35*2+1,24*2,5+8,24*0,52+4,7*2*3+4,78*3*3+1,82*4+4,78*1,82+3,74*2,58-1,6*1,5+4,78*1+2,02*1</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</si>
  <si>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</si>
  <si>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</si>
  <si>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</si>
  <si>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</si>
  <si>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PISOS E RODAPÉS</t>
  </si>
  <si>
    <t>Fornecimento e assentamento de pisos, em:</t>
  </si>
  <si>
    <t>150104</t>
  </si>
  <si>
    <t>Revestimento com cerâmica aplicado em piso, acabamento esmaltado, ambiente interno, padrão extra, cor branca, dimensão da peça até 2.025cm², PEI V, assentamento com argamassa industrializada, inclusive rejuntamento</t>
  </si>
  <si>
    <t>2,11*1,82*2</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</si>
  <si>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</si>
  <si>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150115</t>
  </si>
  <si>
    <t>Placa cimentícia 40 x 40 cm, e = 3,5 cm, de alta resistência, podotátil direcional ou alerta, assentada com argamassa de cimento e areia</t>
  </si>
  <si>
    <t>31*2*0,4+21*2*0,4+1,5*8*0,4+1,24*0,4+2,5*0,4+0,6*0,4*2+1,36*0,4</t>
  </si>
  <si>
    <t>Passeio lateral, palco e bebedouros</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</si>
  <si>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</si>
  <si>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150300</t>
  </si>
  <si>
    <t>Contra- piso e regularização:</t>
  </si>
  <si>
    <t>150301</t>
  </si>
  <si>
    <t>1,82*2,11*2+0,64*0,36*2</t>
  </si>
  <si>
    <t>Instalaçao sanitária e sóculo</t>
  </si>
  <si>
    <t>Será medido pela área onde será executado, na espessura mínima de 6cm (m²).
O item remunera o fornecimento de cimento, areia, pedra britada nº 1, 2 e a mão-de-obra necessária para o apiloamento do terreno e execução do lastro.</t>
  </si>
  <si>
    <t>150405</t>
  </si>
  <si>
    <t>Passeio de concreto e= 8 cm, fck 15 Mpa, c/ preparo p/ terreno, incluindo preparo de caixa, sem revestimento com argamassa de cimento e areia</t>
  </si>
  <si>
    <t>31*2*1,5+18*1,5*2+1,2*15,8+9*1,78+(28-1,82)*2,3-15,8*1,1+2,04*16+(2,35+1,36+1,36+3,89)*1,36</t>
  </si>
  <si>
    <t>Perímetro externo e área interna de circulação da quadra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</si>
  <si>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</si>
  <si>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PINTURA</t>
  </si>
  <si>
    <t>Pintura:</t>
  </si>
  <si>
    <t>Tinta acrílica em parede externa, sem emassamento (duas demãos)</t>
  </si>
  <si>
    <t>1,82*2,11*2+3,74*2,58</t>
  </si>
  <si>
    <t>Laje de cobertura</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</si>
  <si>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</si>
  <si>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Pintura texturizada com desempenadeira de aço, lixamento do emboço e fundo selador</t>
  </si>
  <si>
    <t>(28-4,7-1,6)*1,5*4+18*3+18*1,5*2+21,62*4*0,5+(3,75+1,66)*0,5*2+2,58*3+2,58*2,5*2+4,5*4*3+3,74*2,35*2+1,24*2,5+8,24*0,52+4,7*2*3+4,78*3*3+1,82*4+4,78*1,82+3,74*2,58-1,6*1,5+4,78*1+2,02*1-(1,82*3*2+2,11*3*2)*2-(1,82*2,11*2+3,74*2,58)</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</si>
  <si>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</si>
  <si>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BANCADAS, PRATELEIRAS E DIVISÓRIAS</t>
  </si>
  <si>
    <t>Execução  de:</t>
  </si>
  <si>
    <t>180110</t>
  </si>
  <si>
    <t>Soleira ou peitoril de granito cinza andorinha e=2cm</t>
  </si>
  <si>
    <t>1*,2*2</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</si>
  <si>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</si>
  <si>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QUADRA</t>
  </si>
  <si>
    <t xml:space="preserve">Pintura com tinta a base epox em piso de quadra esportiva concreto 2 demãos </t>
  </si>
  <si>
    <t>(18,6+3,02)*(11,2+1,2+1,2)</t>
  </si>
  <si>
    <t>Áre de jogos da quadra</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</si>
  <si>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</si>
  <si>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</si>
  <si>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</si>
  <si>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</si>
  <si>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</si>
  <si>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</si>
  <si>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</si>
  <si>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Fechamento fundo do palco</t>
  </si>
  <si>
    <t>200202</t>
  </si>
  <si>
    <r>
      <t>Alambrado para quadra esportiva com tela de arame galvanizado</t>
    </r>
    <r>
      <rPr>
        <b/>
        <i/>
        <u val="single"/>
        <sz val="12"/>
        <rFont val="Calibri"/>
        <family val="2"/>
      </rPr>
      <t xml:space="preserve"> </t>
    </r>
    <r>
      <rPr>
        <b/>
        <sz val="12"/>
        <rFont val="Calibri"/>
        <family val="2"/>
      </rPr>
      <t>, fixada em quadros de tubos de aço galvanizado, h=2m</t>
    </r>
  </si>
  <si>
    <t>(28-4,7)*2+18+21,62*2-3,9-4,5+3,75+1,66</t>
  </si>
  <si>
    <t>Conforme projeto fechamento lateral e área de jogos</t>
  </si>
  <si>
    <t>200204</t>
  </si>
  <si>
    <t>Portão em tubo galvanizado de 1 1/2" com tela 2" fio 12 # 1/2" inclusive cadeado</t>
  </si>
  <si>
    <t>1,5*3,5*3+3*1,3*2,5+4,05*2,5*2</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</si>
  <si>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</si>
  <si>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</si>
  <si>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</si>
  <si>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</si>
  <si>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</si>
  <si>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CJ</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</si>
  <si>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</si>
  <si>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</si>
  <si>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</si>
  <si>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(18,6+3,02)*(11,2+1,2+1,2)*0,05</t>
  </si>
  <si>
    <t xml:space="preserve">Área de jogos </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</si>
  <si>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</si>
  <si>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200304</t>
  </si>
  <si>
    <t>Armadura de tela de aço CA 60B (tela de aço CA 60 soldada com trama de 100x100mm D=4,20mm do fio e arrame recozido) OBS: 2,20KG/M2</t>
  </si>
  <si>
    <t>(18,6+3,02)*(11,2+1,2+1,2)*2,2</t>
  </si>
  <si>
    <t>Laje de piso da quadra</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</si>
  <si>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</si>
  <si>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</si>
  <si>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</si>
  <si>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(18,6+3,02)*(11,2+1,2+1,2)*0,08</t>
  </si>
  <si>
    <t>Laje de piso da quada</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</si>
  <si>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</si>
  <si>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</si>
  <si>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</si>
  <si>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18*28+4,78*2,22</t>
  </si>
  <si>
    <t>Proteção reservatório superior e sob toda a área de projeção de cobertura para proteger refletores e telhas</t>
  </si>
  <si>
    <t>Será medido pela área instalada (m²).
O item remunera o fornecimento e instalação de tela de náilon, com malha de 10 x 10 cm, fio com espessura de 2 mm na cor verde. remunera também acessórios para instalação.</t>
  </si>
  <si>
    <t>200403</t>
  </si>
  <si>
    <t xml:space="preserve">Estrutura de aço para cobertura em arco, espaçamento entre arcos de 6,0 m, vão de 30,0 m, em aço  A 36, inclusive montagem </t>
  </si>
  <si>
    <t>18*28</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</si>
  <si>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</si>
  <si>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200404</t>
  </si>
  <si>
    <t>Cobertura em telhas de aço galvanizado, perfil ondulado, esp.  0,5 mm</t>
  </si>
  <si>
    <t>18*28*1,034+28*2*2+18*3,1*2</t>
  </si>
  <si>
    <t>área de projeção da quadra mais empenas mais saias</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</si>
  <si>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</si>
  <si>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</si>
  <si>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</si>
  <si>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</si>
  <si>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</si>
  <si>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</si>
  <si>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</si>
  <si>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</si>
  <si>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230201</t>
  </si>
  <si>
    <t>Transporte e carga manual de material a granel (ou demolição) até a caçamba em até 100m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</si>
  <si>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</si>
  <si>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</si>
  <si>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</si>
  <si>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</si>
  <si>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</si>
  <si>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</si>
  <si>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</si>
  <si>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240200</t>
  </si>
  <si>
    <t>Projetos</t>
  </si>
  <si>
    <t>Será medido por unidade de desenho fornecido e aprovado pela fiscalização ou terceiros conforme o caso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</si>
  <si>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</si>
  <si>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em formato A1</t>
  </si>
  <si>
    <t>240202</t>
  </si>
  <si>
    <t>Projeto executivo de instalações hidrosanitárias em formato A1</t>
  </si>
  <si>
    <t>240203</t>
  </si>
  <si>
    <t>Projeto executivo de instalações elétricas em formato A1</t>
  </si>
  <si>
    <t>240206</t>
  </si>
  <si>
    <t>Projeto executivo e estrutural de estrutura de concreto</t>
  </si>
  <si>
    <t>240207</t>
  </si>
  <si>
    <t>Projeto executivo e estrutural de estrutura metálica</t>
  </si>
  <si>
    <t>240209</t>
  </si>
  <si>
    <t xml:space="preserve">Projeto executivo de drenagem pluvial </t>
  </si>
  <si>
    <t>260000</t>
  </si>
  <si>
    <t>OUTROS</t>
  </si>
  <si>
    <t>SETOP 
ED-50734</t>
  </si>
  <si>
    <t>Friso de alumínio anodizado natural 3/8”(uso interno)</t>
  </si>
  <si>
    <t>4,26+0,36+2,18</t>
  </si>
  <si>
    <t>Alvenaria de fechamento superior na laje de cobertura das instalações sanitárias</t>
  </si>
  <si>
    <t>TOTAL CUSTO =</t>
  </si>
  <si>
    <t>BDI PROJETO =</t>
  </si>
  <si>
    <t xml:space="preserve">BDI OBRA = </t>
  </si>
  <si>
    <t xml:space="preserve">TOTAL GERAL = </t>
  </si>
  <si>
    <t>BASE                                                                                           SETOP, SIDECAP, PINI, ORSE,SINAPI  ABR/21</t>
  </si>
  <si>
    <t>REV00  ABR/21</t>
  </si>
  <si>
    <t>CRONOGRAMA FÍSICO-FINANCEIRO</t>
  </si>
  <si>
    <t>ENDEREÇO:</t>
  </si>
  <si>
    <t>VALOR</t>
  </si>
  <si>
    <t>VALOR + BDI</t>
  </si>
  <si>
    <t>% INC.</t>
  </si>
  <si>
    <t>1º MÊS</t>
  </si>
  <si>
    <t>2º MÊS</t>
  </si>
  <si>
    <t>3º MÊS</t>
  </si>
  <si>
    <t>4º MÊS</t>
  </si>
  <si>
    <t>5º MÊS</t>
  </si>
  <si>
    <t>6º MÊS</t>
  </si>
  <si>
    <t>7º MÊS</t>
  </si>
  <si>
    <t>8º MÊS</t>
  </si>
  <si>
    <t>9º MÊS</t>
  </si>
  <si>
    <t>10º MÊS</t>
  </si>
  <si>
    <t>11º MÊS</t>
  </si>
  <si>
    <t>%</t>
  </si>
  <si>
    <t>TOTAL MENSAL</t>
  </si>
  <si>
    <t>TOTAL ACUMULADO</t>
  </si>
  <si>
    <t>LOCAL / DATA:</t>
  </si>
  <si>
    <t xml:space="preserve">MUNICÍPIO:                                     SÃO JOÃO DA PONTE MG                                                                                                             </t>
  </si>
  <si>
    <t xml:space="preserve">Responsável legal:   DANILO WAGNER VELOSO       </t>
  </si>
  <si>
    <t xml:space="preserve">CREA : </t>
  </si>
  <si>
    <t xml:space="preserve">        SECRETARIA DE ESTADO DE EDUCAÇÃO - DIRETORIA DE INFRAESTRUTURA ESCOLAR E GESTÃO DA REDE FÍSICA - PLANILHA DE SERVIÇOS E MEMÓRIA DE CALCULO</t>
  </si>
  <si>
    <t>REGIME DE EXECUÇÃO: INDIRETA</t>
  </si>
  <si>
    <t>PREÇO UNIT. COM BDI</t>
  </si>
  <si>
    <t xml:space="preserve">ESCOLA:           Quadra poliesportiva na Escola Municipal Padre Rafael                      </t>
  </si>
  <si>
    <t xml:space="preserve">Nome do técnico responsável pela elaboração da planilha: GABRIELA PALMA SOARES                         </t>
  </si>
  <si>
    <t>237296MG</t>
  </si>
  <si>
    <t xml:space="preserve">ATERRO DE NIVELAMENTO - 504m²x0,36m (média)=139,66m³
RAMPA FRENTE E FUNDO - 4,6x2x1,5x0,19m+10mx1,5xx0,4+3,38x1,5x0,8
Rampa palco - (2,35+3,89)x0,25
PALCO - 3,89x2,36x0,4+3,72x5x0,4
PASSEIO LATERAL EM TORNO DA QUADRA - (18+18+15+15)x1,5x0,05
</t>
  </si>
  <si>
    <t>BALDRAMES - 12,05M³
SAPATAS - 30,2M³
total =42,25m³
atualmente possui 30% escavado - 25,35m³ a escavar</t>
  </si>
  <si>
    <t>volume escavado - volume concreto
42,25-31,32 = 12,73</t>
  </si>
  <si>
    <t>FUNDAÇÃO
VB A VB 10 - 34,6M²
SAPATAS - 30,2M²
V. ARRIMO - 5,55M²
total = 70,35</t>
  </si>
  <si>
    <t>PILARES E VIGAS SUPERIOR DA ÁREA DE FECHAMENTO - 3,03M³
tampa reservatório subterrâneo - 0,42</t>
  </si>
  <si>
    <t>DEPOSITO - 3,66X2,58
BANHEIROS e CAIXA DÁGUA  - 17,45M²
LAJE ARQUIBANCADA - 5,79M²+16,67M² 
PALCO - 25,57M²
TOTAL - 74,92M²</t>
  </si>
  <si>
    <t>CONFORME PROJETO ESTRUTURAL totsl=36,08M³ 
VB1 A VB10 -10,38M³
SAPATAS - 10,57M³
PILARES DE LIGAÇÃO E MURETA - 5,93M³
VIGAS DE MURETAS - 4,76M³
MURO DE ARRIMO - 4,44M³</t>
  </si>
  <si>
    <t>2,35+3,89+4,6*2+1,5+10</t>
  </si>
  <si>
    <t>4,97+3,64+4,6x2+2,15x3</t>
  </si>
  <si>
    <t>040303</t>
  </si>
  <si>
    <t>SETOP NORTE MG
ALV-EST-025</t>
  </si>
  <si>
    <t>ALVENARIA DE BLOCO DE CONCRETO CHEIO SEM ARMAÇÃO, EM CONCRETO COM FCK 15MPA , ESP. 14CM, PARA REVESTIMENTO, INCLUSIVE ARGAMASSA PARA ASSENTAMENTO (DETALHE D - CADERNO SEDS)</t>
  </si>
  <si>
    <t>MURO DE ARRIMO - (4+4+31)Mx0,60m</t>
  </si>
  <si>
    <t xml:space="preserve">"18mx4m=72m² - Parede fundo palco e banheiros
(4,70+4,5+ 2,78+3,92+3,92+4,44)m x4m)+1,82m*3m =102,5m² - Paredes banheiros e depósito
Mureta quadra - 56,92mx0,5m
(altura) = 28,46m²
Mureta entorno da quadra coberta - (18+19,7+21,3)mx1,5m =88,5m²
TOTAL = 291,46M²
"
</t>
  </si>
  <si>
    <t xml:space="preserve">MURO DE ARRIMO - 55,4M²
BALDRAME - 127,22M²
Pilares de ligação - 81,59m²
vigas das muretas - 55,12m²
</t>
  </si>
  <si>
    <t xml:space="preserve">MURO DE ARRIMO - 1616,97kg
</t>
  </si>
  <si>
    <t>28*18*50%</t>
  </si>
  <si>
    <t>reaproveitamento de gabarito esxistente - Área de projeção da quadra</t>
  </si>
  <si>
    <t>010008</t>
  </si>
  <si>
    <t>Tapume em chapa compensado de 12mm e pontaletes h= 2,20m com portão.</t>
  </si>
  <si>
    <t>Será medido por área, aferida na projeção vertical de tapume executado, previamente aprovado pela fiscalização (M²).
O item remunera o fornecimento de chapa compensada resinada de 12mm,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</si>
  <si>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 xml:space="preserve">Fechamento lateral entre E. Padre Rafael e Sec. De Agricultura - 34mx2,2m = 74,8m²
</t>
  </si>
  <si>
    <t>150402</t>
  </si>
  <si>
    <t>Data da elaboração 18/01/2024:</t>
  </si>
  <si>
    <t xml:space="preserve">ESCOLA         ESCOLA MUNICIPAL PADRE RAFAEL                                                                                                                                 </t>
  </si>
  <si>
    <t xml:space="preserve">MUNICÍPIO / DISTRITO:  MUNICÍPIO DE SÃO JOÃO DA PONTE                                                                                                                                                      </t>
  </si>
  <si>
    <t>SERVIÇOS: Conclusão da quadra poliesportiva da escola Padre Rafael</t>
  </si>
  <si>
    <t>Nome do técnico responsável pela elaboração da planilha:   Gabriela Palma Soares CREA MG237.296</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</si>
</sst>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 numFmtId="165" formatCode="#,##0.00\ ;&quot; (&quot;#,##0.00\);&quot; -&quot;#\ ;@\ "/>
    <numFmt numFmtId="166" formatCode="0.00_);\(0.00\)"/>
    <numFmt numFmtId="167" formatCode="dd/mm/yy;@"/>
    <numFmt numFmtId="168" formatCode="#,##0.000"/>
    <numFmt numFmtId="169" formatCode="#,##0.0000"/>
    <numFmt numFmtId="170" formatCode="#,##0.00000"/>
    <numFmt numFmtId="171" formatCode="0.000%"/>
    <numFmt numFmtId="172" formatCode="0.0000%"/>
    <numFmt numFmtId="173" formatCode="0.000"/>
    <numFmt numFmtId="174" formatCode="0.0000"/>
    <numFmt numFmtId="175" formatCode="0.00000"/>
    <numFmt numFmtId="176" formatCode="0.000000"/>
    <numFmt numFmtId="177" formatCode="0.0"/>
    <numFmt numFmtId="178" formatCode="#,##0.0"/>
    <numFmt numFmtId="179" formatCode="#,##0.000000"/>
    <numFmt numFmtId="180" formatCode="0.000_);\(0.000\)"/>
    <numFmt numFmtId="181" formatCode="0.0000_);\(0.0000\)"/>
    <numFmt numFmtId="182" formatCode="0.00000_);\(0.00000\)"/>
    <numFmt numFmtId="183" formatCode="#,##0.0000000"/>
    <numFmt numFmtId="184" formatCode="_(* #,##0.00_);_(* \(#,##0.00\);_(* &quot;-&quot;??_);_(@_)"/>
    <numFmt numFmtId="185" formatCode="_(&quot;R$ &quot;* #,##0_);_(&quot;R$ &quot;* \(#,##0\);_(&quot;R$ &quot;* &quot;-&quot;_);_(@_)"/>
    <numFmt numFmtId="186" formatCode="_(* #,##0_);_(* \(#,##0\);_(* &quot;-&quot;_);_(@_)"/>
    <numFmt numFmtId="187" formatCode="_(&quot;R$ &quot;* #,##0.00_);_(&quot;R$ &quot;* \(#,##0.00\);_(&quot;R$ &quot;* &quot;-&quot;??_);_(@_)"/>
    <numFmt numFmtId="188" formatCode="0.000000_);\(0.000000\)"/>
    <numFmt numFmtId="189" formatCode="[$-416]dddd\,\ d&quot; de &quot;mmmm&quot; de &quot;yyyy"/>
  </numFmts>
  <fonts count="64">
    <font>
      <sz val="11"/>
      <color indexed="8"/>
      <name val="Calibri"/>
      <family val="2"/>
    </font>
    <font>
      <sz val="10"/>
      <name val="Arial"/>
      <family val="0"/>
    </font>
    <font>
      <sz val="14"/>
      <name val="Arial"/>
      <family val="2"/>
    </font>
    <font>
      <b/>
      <sz val="12"/>
      <color indexed="10"/>
      <name val="Calibri"/>
      <family val="2"/>
    </font>
    <font>
      <sz val="12"/>
      <color indexed="8"/>
      <name val="Calibri"/>
      <family val="2"/>
    </font>
    <font>
      <sz val="12"/>
      <name val="Calibri"/>
      <family val="2"/>
    </font>
    <font>
      <b/>
      <sz val="14"/>
      <name val="Calibri"/>
      <family val="2"/>
    </font>
    <font>
      <sz val="11"/>
      <name val="Calibri"/>
      <family val="2"/>
    </font>
    <font>
      <sz val="14"/>
      <name val="Calibri"/>
      <family val="2"/>
    </font>
    <font>
      <b/>
      <sz val="10"/>
      <name val="Arial"/>
      <family val="2"/>
    </font>
    <font>
      <b/>
      <sz val="12"/>
      <name val="Calibri"/>
      <family val="2"/>
    </font>
    <font>
      <vertAlign val="superscript"/>
      <sz val="14"/>
      <name val="Calibri"/>
      <family val="2"/>
    </font>
    <font>
      <b/>
      <sz val="10"/>
      <name val="Calibri"/>
      <family val="2"/>
    </font>
    <font>
      <b/>
      <u val="single"/>
      <sz val="12"/>
      <name val="Calibri"/>
      <family val="2"/>
    </font>
    <font>
      <b/>
      <vertAlign val="superscript"/>
      <sz val="12"/>
      <name val="Calibri"/>
      <family val="2"/>
    </font>
    <font>
      <sz val="14"/>
      <color indexed="53"/>
      <name val="Calibri"/>
      <family val="2"/>
    </font>
    <font>
      <b/>
      <i/>
      <sz val="12"/>
      <name val="Calibri"/>
      <family val="2"/>
    </font>
    <font>
      <b/>
      <sz val="14"/>
      <name val="Arial"/>
      <family val="2"/>
    </font>
    <font>
      <b/>
      <sz val="16"/>
      <name val="Arial"/>
      <family val="2"/>
    </font>
    <font>
      <b/>
      <i/>
      <u val="single"/>
      <sz val="12"/>
      <name val="Calibri"/>
      <family val="2"/>
    </font>
    <font>
      <sz val="10"/>
      <name val="Calibri"/>
      <family val="2"/>
    </font>
    <font>
      <b/>
      <sz val="14"/>
      <color indexed="10"/>
      <name val="Calibri"/>
      <family val="2"/>
    </font>
    <font>
      <b/>
      <sz val="7"/>
      <name val="Comic Sans MS"/>
      <family val="4"/>
    </font>
    <font>
      <sz val="11"/>
      <name val="Comic Sans MS"/>
      <family val="4"/>
    </font>
    <font>
      <b/>
      <sz val="10"/>
      <color indexed="8"/>
      <name val="Arial"/>
      <family val="2"/>
    </font>
    <font>
      <b/>
      <sz val="12"/>
      <color indexed="10"/>
      <name val="Arial"/>
      <family val="2"/>
    </font>
    <font>
      <b/>
      <sz val="12"/>
      <color indexed="8"/>
      <name val="Arial"/>
      <family val="2"/>
    </font>
    <font>
      <b/>
      <sz val="12"/>
      <name val="Arial"/>
      <family val="2"/>
    </font>
    <font>
      <b/>
      <sz val="9"/>
      <name val="Arial"/>
      <family val="2"/>
    </font>
    <font>
      <b/>
      <sz val="11"/>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00B050"/>
        <bgColor indexed="64"/>
      </patternFill>
    </fill>
    <fill>
      <patternFill patternType="solid">
        <fgColor indexed="22"/>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color indexed="63"/>
      </top>
      <bottom>
        <color indexed="63"/>
      </bottom>
    </border>
    <border>
      <left style="thin"/>
      <right style="thin"/>
      <top/>
      <bottom/>
    </border>
    <border>
      <left style="medium">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color indexed="63"/>
      </top>
      <bottom style="medium">
        <color indexed="8"/>
      </bottom>
    </border>
    <border>
      <left style="hair">
        <color indexed="8"/>
      </left>
      <right>
        <color indexed="63"/>
      </right>
      <top style="hair">
        <color indexed="8"/>
      </top>
      <bottom style="hair">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0" fontId="55" fillId="31" borderId="0" applyNumberFormat="0" applyBorder="0" applyAlignment="0" applyProtection="0"/>
    <xf numFmtId="0" fontId="0" fillId="0" borderId="0">
      <alignment/>
      <protection/>
    </xf>
    <xf numFmtId="0" fontId="47"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47" fillId="0" borderId="0" applyFont="0" applyFill="0" applyBorder="0" applyAlignment="0" applyProtection="0"/>
    <xf numFmtId="0" fontId="56" fillId="21" borderId="5" applyNumberFormat="0" applyAlignment="0" applyProtection="0"/>
    <xf numFmtId="41"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164" fontId="0" fillId="0" borderId="0" applyFill="0" applyBorder="0" applyAlignment="0" applyProtection="0"/>
    <xf numFmtId="164" fontId="0" fillId="0" borderId="0" applyFill="0" applyBorder="0" applyAlignment="0" applyProtection="0"/>
    <xf numFmtId="184" fontId="47" fillId="0" borderId="0" applyFont="0" applyFill="0" applyBorder="0" applyAlignment="0" applyProtection="0"/>
  </cellStyleXfs>
  <cellXfs count="215">
    <xf numFmtId="0" fontId="0" fillId="0" borderId="0" xfId="0"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2" fillId="33" borderId="0" xfId="0" applyFont="1" applyFill="1" applyAlignment="1">
      <alignment vertical="center"/>
    </xf>
    <xf numFmtId="0" fontId="2" fillId="33" borderId="0" xfId="0" applyFont="1" applyFill="1" applyAlignment="1">
      <alignment horizontal="center" vertical="center"/>
    </xf>
    <xf numFmtId="4" fontId="2" fillId="33" borderId="0" xfId="66" applyNumberFormat="1" applyFont="1" applyFill="1" applyBorder="1" applyAlignment="1" applyProtection="1">
      <alignment horizontal="center" vertical="center"/>
      <protection/>
    </xf>
    <xf numFmtId="0" fontId="3" fillId="33" borderId="0" xfId="0" applyFont="1" applyFill="1" applyBorder="1" applyAlignment="1">
      <alignment horizontal="center"/>
    </xf>
    <xf numFmtId="0" fontId="4" fillId="33" borderId="0" xfId="0" applyFont="1" applyFill="1" applyAlignment="1">
      <alignment horizontal="center"/>
    </xf>
    <xf numFmtId="0" fontId="5" fillId="33" borderId="0" xfId="0" applyFont="1" applyFill="1" applyAlignment="1">
      <alignment/>
    </xf>
    <xf numFmtId="0" fontId="0" fillId="33" borderId="0" xfId="0" applyFont="1" applyFill="1" applyAlignment="1">
      <alignment/>
    </xf>
    <xf numFmtId="0" fontId="6" fillId="33" borderId="10" xfId="0" applyFont="1" applyFill="1" applyBorder="1" applyAlignment="1" applyProtection="1">
      <alignment horizontal="center" vertical="center"/>
      <protection locked="0"/>
    </xf>
    <xf numFmtId="0" fontId="7" fillId="33" borderId="0" xfId="0" applyFont="1" applyFill="1" applyAlignment="1">
      <alignment/>
    </xf>
    <xf numFmtId="0" fontId="6" fillId="33" borderId="11" xfId="0" applyNumberFormat="1" applyFont="1" applyFill="1" applyBorder="1" applyAlignment="1" applyProtection="1">
      <alignment vertical="center"/>
      <protection locked="0"/>
    </xf>
    <xf numFmtId="49" fontId="6" fillId="33" borderId="12" xfId="0" applyNumberFormat="1" applyFont="1" applyFill="1" applyBorder="1" applyAlignment="1" applyProtection="1">
      <alignment horizontal="center" vertical="center"/>
      <protection locked="0"/>
    </xf>
    <xf numFmtId="0" fontId="8" fillId="33" borderId="0" xfId="0" applyFont="1" applyFill="1" applyAlignment="1">
      <alignment/>
    </xf>
    <xf numFmtId="49" fontId="6" fillId="33" borderId="13" xfId="0" applyNumberFormat="1" applyFont="1" applyFill="1" applyBorder="1" applyAlignment="1" applyProtection="1">
      <alignment horizontal="center" vertical="center"/>
      <protection locked="0"/>
    </xf>
    <xf numFmtId="49" fontId="6" fillId="33" borderId="13" xfId="0" applyNumberFormat="1" applyFont="1" applyFill="1" applyBorder="1" applyAlignment="1" applyProtection="1">
      <alignment vertical="center"/>
      <protection locked="0"/>
    </xf>
    <xf numFmtId="49" fontId="6" fillId="33" borderId="14" xfId="0" applyNumberFormat="1" applyFont="1" applyFill="1" applyBorder="1" applyAlignment="1" applyProtection="1">
      <alignment vertical="center"/>
      <protection locked="0"/>
    </xf>
    <xf numFmtId="0" fontId="6" fillId="33" borderId="15" xfId="0" applyFont="1" applyFill="1" applyBorder="1" applyAlignment="1" applyProtection="1">
      <alignment horizontal="center" vertical="center" wrapText="1"/>
      <protection locked="0"/>
    </xf>
    <xf numFmtId="4" fontId="6" fillId="33" borderId="16" xfId="66" applyNumberFormat="1" applyFont="1" applyFill="1" applyBorder="1" applyAlignment="1" applyProtection="1">
      <alignment horizontal="center" vertical="center"/>
      <protection locked="0"/>
    </xf>
    <xf numFmtId="4" fontId="6" fillId="33" borderId="15" xfId="66" applyNumberFormat="1" applyFont="1" applyFill="1" applyBorder="1" applyAlignment="1" applyProtection="1">
      <alignment horizontal="center" vertical="center" wrapText="1"/>
      <protection locked="0"/>
    </xf>
    <xf numFmtId="0" fontId="9" fillId="33" borderId="0" xfId="0" applyFont="1" applyFill="1" applyBorder="1" applyAlignment="1">
      <alignment/>
    </xf>
    <xf numFmtId="2" fontId="9" fillId="33" borderId="0" xfId="0" applyNumberFormat="1" applyFont="1" applyFill="1" applyBorder="1" applyAlignment="1">
      <alignment/>
    </xf>
    <xf numFmtId="49" fontId="10" fillId="33" borderId="17" xfId="0" applyNumberFormat="1" applyFont="1" applyFill="1" applyBorder="1" applyAlignment="1" applyProtection="1">
      <alignment horizontal="center" vertical="center" wrapText="1"/>
      <protection locked="0"/>
    </xf>
    <xf numFmtId="0" fontId="6" fillId="33" borderId="15" xfId="0" applyFont="1" applyFill="1" applyBorder="1" applyAlignment="1" applyProtection="1">
      <alignment horizontal="justify" vertical="center" wrapText="1"/>
      <protection locked="0"/>
    </xf>
    <xf numFmtId="0" fontId="8" fillId="33" borderId="18" xfId="0" applyNumberFormat="1" applyFont="1" applyFill="1" applyBorder="1" applyAlignment="1" applyProtection="1">
      <alignment horizontal="center" vertical="center" wrapText="1"/>
      <protection locked="0"/>
    </xf>
    <xf numFmtId="4" fontId="8" fillId="33" borderId="18" xfId="66" applyNumberFormat="1" applyFont="1" applyFill="1" applyBorder="1" applyAlignment="1" applyProtection="1">
      <alignment horizontal="center" vertical="center" wrapText="1"/>
      <protection locked="0"/>
    </xf>
    <xf numFmtId="165" fontId="8" fillId="33" borderId="18"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locked="0"/>
    </xf>
    <xf numFmtId="0" fontId="9" fillId="33" borderId="0" xfId="0" applyFont="1" applyFill="1" applyBorder="1" applyAlignment="1">
      <alignment vertical="center" wrapText="1"/>
    </xf>
    <xf numFmtId="2" fontId="9" fillId="33" borderId="0" xfId="0" applyNumberFormat="1" applyFont="1" applyFill="1" applyBorder="1" applyAlignment="1">
      <alignment vertical="center" wrapText="1"/>
    </xf>
    <xf numFmtId="49" fontId="10" fillId="33" borderId="19" xfId="0" applyNumberFormat="1" applyFont="1" applyFill="1" applyBorder="1" applyAlignment="1" applyProtection="1">
      <alignment horizontal="center" vertical="center" wrapText="1"/>
      <protection locked="0"/>
    </xf>
    <xf numFmtId="0" fontId="10" fillId="33" borderId="18" xfId="0" applyFont="1" applyFill="1" applyBorder="1" applyAlignment="1" applyProtection="1">
      <alignment horizontal="justify" vertical="center" wrapText="1"/>
      <protection locked="0"/>
    </xf>
    <xf numFmtId="0" fontId="8" fillId="33" borderId="20" xfId="0" applyFont="1" applyFill="1" applyBorder="1" applyAlignment="1" applyProtection="1">
      <alignment horizontal="center" vertical="center" wrapText="1"/>
      <protection locked="0"/>
    </xf>
    <xf numFmtId="4" fontId="8" fillId="33" borderId="20" xfId="0" applyNumberFormat="1" applyFont="1" applyFill="1" applyBorder="1" applyAlignment="1" applyProtection="1">
      <alignment horizontal="center" vertical="center" wrapText="1"/>
      <protection locked="0"/>
    </xf>
    <xf numFmtId="165" fontId="8" fillId="33" borderId="20" xfId="0" applyNumberFormat="1" applyFont="1" applyFill="1" applyBorder="1" applyAlignment="1" applyProtection="1">
      <alignment horizontal="center" vertical="center" wrapText="1"/>
      <protection locked="0"/>
    </xf>
    <xf numFmtId="2" fontId="10" fillId="33" borderId="0" xfId="0" applyNumberFormat="1" applyFont="1" applyFill="1" applyBorder="1" applyAlignment="1" applyProtection="1">
      <alignment horizontal="center" vertical="center" wrapText="1"/>
      <protection locked="0"/>
    </xf>
    <xf numFmtId="165" fontId="10" fillId="33" borderId="0" xfId="0" applyNumberFormat="1" applyFont="1" applyFill="1" applyBorder="1" applyAlignment="1" applyProtection="1">
      <alignment horizontal="center" vertical="center" wrapText="1"/>
      <protection locked="0"/>
    </xf>
    <xf numFmtId="0" fontId="10" fillId="33" borderId="0" xfId="53" applyNumberFormat="1" applyFont="1" applyFill="1" applyBorder="1" applyAlignment="1" applyProtection="1">
      <alignment vertical="center" wrapText="1"/>
      <protection locked="0"/>
    </xf>
    <xf numFmtId="2" fontId="0" fillId="0" borderId="0" xfId="0" applyNumberFormat="1" applyAlignment="1">
      <alignment/>
    </xf>
    <xf numFmtId="49" fontId="10" fillId="33" borderId="21" xfId="0" applyNumberFormat="1" applyFont="1" applyFill="1" applyBorder="1" applyAlignment="1" applyProtection="1">
      <alignment horizontal="center" vertical="center" wrapText="1"/>
      <protection locked="0"/>
    </xf>
    <xf numFmtId="0" fontId="5" fillId="33" borderId="20" xfId="0" applyFont="1" applyFill="1" applyBorder="1" applyAlignment="1" applyProtection="1">
      <alignment horizontal="justify" vertical="center" wrapText="1"/>
      <protection locked="0"/>
    </xf>
    <xf numFmtId="0" fontId="5" fillId="33" borderId="22" xfId="0" applyFont="1" applyFill="1" applyBorder="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10" fillId="33" borderId="20" xfId="0" applyFont="1" applyFill="1" applyBorder="1" applyAlignment="1">
      <alignment horizontal="justify" vertical="center" wrapText="1"/>
    </xf>
    <xf numFmtId="0" fontId="5" fillId="33" borderId="0" xfId="0" applyFont="1" applyFill="1" applyBorder="1" applyAlignment="1" applyProtection="1">
      <alignment horizontal="justify" vertical="center" wrapText="1"/>
      <protection locked="0"/>
    </xf>
    <xf numFmtId="2" fontId="10" fillId="33" borderId="22" xfId="0" applyNumberFormat="1" applyFont="1" applyFill="1" applyBorder="1" applyAlignment="1" applyProtection="1">
      <alignment vertical="center" wrapText="1"/>
      <protection locked="0"/>
    </xf>
    <xf numFmtId="2" fontId="10" fillId="33" borderId="0" xfId="0" applyNumberFormat="1" applyFont="1" applyFill="1" applyBorder="1" applyAlignment="1" applyProtection="1">
      <alignment vertical="center" wrapText="1"/>
      <protection locked="0"/>
    </xf>
    <xf numFmtId="0" fontId="10" fillId="33" borderId="20" xfId="0" applyFont="1" applyFill="1" applyBorder="1" applyAlignment="1" applyProtection="1">
      <alignment horizontal="justify" vertical="center" wrapText="1"/>
      <protection locked="0"/>
    </xf>
    <xf numFmtId="0" fontId="10" fillId="33" borderId="22" xfId="0" applyFont="1" applyFill="1" applyBorder="1" applyAlignment="1" applyProtection="1">
      <alignment vertical="center" wrapText="1"/>
      <protection locked="0"/>
    </xf>
    <xf numFmtId="165" fontId="6" fillId="33" borderId="16" xfId="0" applyNumberFormat="1" applyFont="1" applyFill="1" applyBorder="1" applyAlignment="1" applyProtection="1">
      <alignment horizontal="center" vertical="center" wrapText="1"/>
      <protection locked="0"/>
    </xf>
    <xf numFmtId="0" fontId="9" fillId="34" borderId="0" xfId="0" applyFont="1" applyFill="1" applyBorder="1" applyAlignment="1">
      <alignment horizontal="center" vertical="center" wrapText="1"/>
    </xf>
    <xf numFmtId="2" fontId="8" fillId="33" borderId="20" xfId="0" applyNumberFormat="1" applyFont="1" applyFill="1" applyBorder="1" applyAlignment="1" applyProtection="1">
      <alignment horizontal="center" vertical="center" wrapText="1"/>
      <protection locked="0"/>
    </xf>
    <xf numFmtId="0" fontId="12" fillId="33" borderId="23" xfId="0" applyFont="1" applyFill="1" applyBorder="1" applyAlignment="1" applyProtection="1">
      <alignment horizontal="justify" vertical="center" wrapText="1"/>
      <protection locked="0"/>
    </xf>
    <xf numFmtId="166" fontId="8" fillId="33" borderId="20" xfId="0" applyNumberFormat="1"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165" fontId="8" fillId="33" borderId="24"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justify" vertical="center" wrapText="1"/>
      <protection locked="0"/>
    </xf>
    <xf numFmtId="0" fontId="8" fillId="33" borderId="22"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justify" vertical="center" wrapText="1"/>
      <protection locked="0"/>
    </xf>
    <xf numFmtId="0" fontId="8" fillId="33" borderId="20" xfId="0" applyNumberFormat="1" applyFont="1" applyFill="1" applyBorder="1" applyAlignment="1" applyProtection="1">
      <alignment horizontal="center" vertical="center" wrapText="1"/>
      <protection locked="0"/>
    </xf>
    <xf numFmtId="49" fontId="10" fillId="33" borderId="25" xfId="0" applyNumberFormat="1" applyFont="1" applyFill="1" applyBorder="1" applyAlignment="1" applyProtection="1">
      <alignment horizontal="center" vertical="center" wrapText="1"/>
      <protection locked="0"/>
    </xf>
    <xf numFmtId="0" fontId="10" fillId="33" borderId="26" xfId="0" applyFont="1" applyFill="1" applyBorder="1" applyAlignment="1" applyProtection="1">
      <alignment horizontal="justify" vertical="center" wrapText="1"/>
      <protection locked="0"/>
    </xf>
    <xf numFmtId="0" fontId="10" fillId="33" borderId="23" xfId="0" applyFont="1" applyFill="1" applyBorder="1" applyAlignment="1" applyProtection="1">
      <alignment horizontal="justify" vertical="center" wrapText="1"/>
      <protection locked="0"/>
    </xf>
    <xf numFmtId="0" fontId="6" fillId="33" borderId="18" xfId="0" applyNumberFormat="1" applyFont="1" applyFill="1" applyBorder="1" applyAlignment="1" applyProtection="1">
      <alignment horizontal="center" vertical="center" wrapText="1"/>
      <protection locked="0"/>
    </xf>
    <xf numFmtId="0" fontId="13" fillId="33" borderId="18" xfId="0" applyFont="1" applyFill="1" applyBorder="1" applyAlignment="1" applyProtection="1">
      <alignment horizontal="justify" vertical="center" wrapText="1"/>
      <protection locked="0"/>
    </xf>
    <xf numFmtId="4" fontId="8" fillId="33" borderId="20" xfId="66" applyNumberFormat="1" applyFont="1" applyFill="1" applyBorder="1" applyAlignment="1" applyProtection="1">
      <alignment horizontal="center" vertical="center" wrapText="1"/>
      <protection locked="0"/>
    </xf>
    <xf numFmtId="0" fontId="1" fillId="33" borderId="0" xfId="0" applyFont="1" applyFill="1" applyBorder="1" applyAlignment="1">
      <alignment vertical="center" wrapText="1"/>
    </xf>
    <xf numFmtId="49" fontId="12" fillId="33" borderId="25" xfId="0" applyNumberFormat="1" applyFont="1" applyFill="1" applyBorder="1" applyAlignment="1" applyProtection="1">
      <alignment horizontal="center" vertical="center" wrapText="1"/>
      <protection locked="0"/>
    </xf>
    <xf numFmtId="0" fontId="5" fillId="33" borderId="20" xfId="0" applyFont="1" applyFill="1" applyBorder="1" applyAlignment="1">
      <alignment horizontal="justify" vertical="center" wrapText="1"/>
    </xf>
    <xf numFmtId="49" fontId="10" fillId="33" borderId="21" xfId="0" applyNumberFormat="1" applyFont="1" applyFill="1" applyBorder="1" applyAlignment="1">
      <alignment horizontal="center" vertical="center" wrapText="1"/>
    </xf>
    <xf numFmtId="0" fontId="8" fillId="33" borderId="20" xfId="0" applyFont="1" applyFill="1" applyBorder="1" applyAlignment="1">
      <alignment horizontal="center" vertical="center" wrapText="1"/>
    </xf>
    <xf numFmtId="0" fontId="12" fillId="33" borderId="0" xfId="0" applyFont="1" applyFill="1" applyBorder="1" applyAlignment="1">
      <alignment vertical="center" wrapText="1"/>
    </xf>
    <xf numFmtId="49" fontId="10" fillId="33" borderId="20" xfId="0" applyNumberFormat="1" applyFont="1" applyFill="1" applyBorder="1" applyAlignment="1" applyProtection="1">
      <alignment horizontal="justify" vertical="center" wrapText="1"/>
      <protection locked="0"/>
    </xf>
    <xf numFmtId="49" fontId="5" fillId="33" borderId="20" xfId="0" applyNumberFormat="1" applyFont="1" applyFill="1" applyBorder="1" applyAlignment="1" applyProtection="1">
      <alignment horizontal="justify" vertical="center" wrapText="1"/>
      <protection locked="0"/>
    </xf>
    <xf numFmtId="0" fontId="9" fillId="33" borderId="27" xfId="0" applyFont="1" applyFill="1" applyBorder="1" applyAlignment="1">
      <alignment horizontal="center" vertical="center" wrapText="1"/>
    </xf>
    <xf numFmtId="4" fontId="8" fillId="33" borderId="24" xfId="0" applyNumberFormat="1" applyFont="1" applyFill="1" applyBorder="1" applyAlignment="1" applyProtection="1">
      <alignment horizontal="center" vertical="center" wrapText="1"/>
      <protection locked="0"/>
    </xf>
    <xf numFmtId="0" fontId="18" fillId="33" borderId="0" xfId="0" applyFont="1" applyFill="1" applyBorder="1" applyAlignment="1">
      <alignment horizontal="center" vertical="center" wrapText="1"/>
    </xf>
    <xf numFmtId="1" fontId="10" fillId="33" borderId="17"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center" vertical="center" wrapText="1"/>
      <protection locked="0"/>
    </xf>
    <xf numFmtId="1" fontId="10" fillId="33" borderId="19" xfId="0" applyNumberFormat="1" applyFont="1" applyFill="1" applyBorder="1" applyAlignment="1" applyProtection="1">
      <alignment horizontal="center" vertical="center" wrapText="1"/>
      <protection locked="0"/>
    </xf>
    <xf numFmtId="1" fontId="10" fillId="33" borderId="21" xfId="0" applyNumberFormat="1" applyFont="1" applyFill="1" applyBorder="1" applyAlignment="1" applyProtection="1">
      <alignment horizontal="center" vertical="center" wrapText="1"/>
      <protection locked="0"/>
    </xf>
    <xf numFmtId="1" fontId="10" fillId="33" borderId="25" xfId="0" applyNumberFormat="1" applyFont="1" applyFill="1" applyBorder="1" applyAlignment="1" applyProtection="1">
      <alignment horizontal="center" vertical="center" wrapText="1"/>
      <protection locked="0"/>
    </xf>
    <xf numFmtId="0" fontId="10" fillId="33" borderId="23" xfId="0" applyFont="1" applyFill="1" applyBorder="1" applyAlignment="1" applyProtection="1">
      <alignment horizontal="justify" vertical="center" wrapText="1" shrinkToFit="1"/>
      <protection locked="0"/>
    </xf>
    <xf numFmtId="0" fontId="6" fillId="33" borderId="18" xfId="0" applyFont="1" applyFill="1" applyBorder="1" applyAlignment="1" applyProtection="1">
      <alignment horizontal="justify" vertical="center" wrapText="1"/>
      <protection locked="0"/>
    </xf>
    <xf numFmtId="49" fontId="10" fillId="33" borderId="28" xfId="0" applyNumberFormat="1" applyFont="1" applyFill="1" applyBorder="1" applyAlignment="1" applyProtection="1">
      <alignment horizontal="center" vertical="center" wrapText="1"/>
      <protection locked="0"/>
    </xf>
    <xf numFmtId="0" fontId="8" fillId="33" borderId="24"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justify" vertical="center" wrapText="1" shrinkToFit="1"/>
      <protection locked="0"/>
    </xf>
    <xf numFmtId="0" fontId="5" fillId="33" borderId="20" xfId="0" applyFont="1" applyFill="1" applyBorder="1" applyAlignment="1" applyProtection="1">
      <alignment horizontal="justify" vertical="center" wrapText="1" shrinkToFit="1"/>
      <protection locked="0"/>
    </xf>
    <xf numFmtId="0" fontId="13" fillId="33" borderId="20" xfId="0" applyFont="1" applyFill="1" applyBorder="1" applyAlignment="1" applyProtection="1">
      <alignment horizontal="justify" vertical="center" wrapText="1" shrinkToFit="1"/>
      <protection locked="0"/>
    </xf>
    <xf numFmtId="0" fontId="8" fillId="33" borderId="21" xfId="0" applyFont="1" applyFill="1" applyBorder="1" applyAlignment="1" applyProtection="1">
      <alignment horizontal="center" vertical="center" wrapText="1"/>
      <protection locked="0"/>
    </xf>
    <xf numFmtId="0" fontId="12" fillId="33" borderId="0" xfId="0" applyFont="1" applyFill="1" applyBorder="1" applyAlignment="1" applyProtection="1">
      <alignment vertical="center" wrapText="1"/>
      <protection locked="0"/>
    </xf>
    <xf numFmtId="49" fontId="20" fillId="33" borderId="25" xfId="0" applyNumberFormat="1" applyFont="1" applyFill="1" applyBorder="1" applyAlignment="1" applyProtection="1">
      <alignment vertical="center" wrapText="1"/>
      <protection locked="0"/>
    </xf>
    <xf numFmtId="0" fontId="20" fillId="33" borderId="23" xfId="0" applyFont="1" applyFill="1" applyBorder="1" applyAlignment="1" applyProtection="1">
      <alignment horizontal="justify" vertical="center" wrapText="1"/>
      <protection locked="0"/>
    </xf>
    <xf numFmtId="49" fontId="20" fillId="33" borderId="23" xfId="0" applyNumberFormat="1" applyFont="1" applyFill="1" applyBorder="1" applyAlignment="1" applyProtection="1">
      <alignment vertical="center" wrapText="1"/>
      <protection locked="0"/>
    </xf>
    <xf numFmtId="49" fontId="20" fillId="33" borderId="0" xfId="0" applyNumberFormat="1" applyFont="1" applyFill="1" applyBorder="1" applyAlignment="1" applyProtection="1">
      <alignment horizontal="center" vertical="center" wrapText="1"/>
      <protection locked="0"/>
    </xf>
    <xf numFmtId="0" fontId="6" fillId="33" borderId="29" xfId="0" applyFont="1" applyFill="1" applyBorder="1" applyAlignment="1" applyProtection="1">
      <alignment horizontal="justify" vertical="center" wrapText="1"/>
      <protection locked="0"/>
    </xf>
    <xf numFmtId="0" fontId="10" fillId="33" borderId="0" xfId="0" applyFont="1" applyFill="1" applyBorder="1" applyAlignment="1" applyProtection="1">
      <alignment horizontal="center"/>
      <protection locked="0"/>
    </xf>
    <xf numFmtId="165" fontId="10" fillId="33" borderId="0" xfId="0" applyNumberFormat="1" applyFont="1" applyFill="1" applyBorder="1" applyAlignment="1" applyProtection="1">
      <alignment/>
      <protection locked="0"/>
    </xf>
    <xf numFmtId="0" fontId="6" fillId="33" borderId="0" xfId="0" applyFont="1" applyFill="1" applyBorder="1" applyAlignment="1" applyProtection="1">
      <alignment horizontal="justify" vertical="center" wrapText="1"/>
      <protection locked="0"/>
    </xf>
    <xf numFmtId="165" fontId="6" fillId="33" borderId="14" xfId="0" applyNumberFormat="1"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165" fontId="6" fillId="33" borderId="0" xfId="0" applyNumberFormat="1" applyFont="1" applyFill="1" applyBorder="1" applyAlignment="1" applyProtection="1">
      <alignment horizontal="center" vertical="center" wrapText="1"/>
      <protection locked="0"/>
    </xf>
    <xf numFmtId="0" fontId="10" fillId="33" borderId="30" xfId="0" applyFont="1" applyFill="1" applyBorder="1" applyAlignment="1" applyProtection="1">
      <alignment horizontal="center" vertical="center" wrapText="1"/>
      <protection locked="0"/>
    </xf>
    <xf numFmtId="0" fontId="22" fillId="33" borderId="31" xfId="0" applyFont="1" applyFill="1" applyBorder="1" applyAlignment="1" applyProtection="1">
      <alignment horizontal="center" vertical="center" wrapText="1"/>
      <protection locked="0"/>
    </xf>
    <xf numFmtId="0" fontId="23" fillId="33" borderId="31" xfId="0" applyFont="1" applyFill="1" applyBorder="1" applyAlignment="1" applyProtection="1">
      <alignment horizontal="center" vertical="center" wrapText="1"/>
      <protection locked="0"/>
    </xf>
    <xf numFmtId="0" fontId="6" fillId="33" borderId="31" xfId="0" applyFont="1" applyFill="1" applyBorder="1" applyAlignment="1" applyProtection="1">
      <alignment vertical="center" wrapText="1"/>
      <protection locked="0"/>
    </xf>
    <xf numFmtId="0" fontId="6" fillId="33" borderId="31" xfId="0" applyFont="1" applyFill="1" applyBorder="1" applyAlignment="1" applyProtection="1">
      <alignment horizontal="right" vertical="center" wrapText="1"/>
      <protection locked="0"/>
    </xf>
    <xf numFmtId="167" fontId="6" fillId="33" borderId="32" xfId="0" applyNumberFormat="1" applyFont="1" applyFill="1" applyBorder="1" applyAlignment="1" applyProtection="1">
      <alignment vertical="center" wrapText="1"/>
      <protection locked="0"/>
    </xf>
    <xf numFmtId="0" fontId="24" fillId="33" borderId="0" xfId="0" applyFont="1" applyFill="1" applyBorder="1" applyAlignment="1">
      <alignment/>
    </xf>
    <xf numFmtId="4" fontId="2" fillId="33" borderId="33" xfId="66" applyNumberFormat="1" applyFont="1" applyFill="1" applyBorder="1" applyAlignment="1" applyProtection="1">
      <alignment horizontal="center" vertical="center"/>
      <protection/>
    </xf>
    <xf numFmtId="0" fontId="2" fillId="33" borderId="33" xfId="0" applyFont="1" applyFill="1" applyBorder="1" applyAlignment="1">
      <alignment horizontal="center" vertical="center"/>
    </xf>
    <xf numFmtId="0" fontId="25" fillId="33" borderId="33" xfId="0" applyFont="1" applyFill="1" applyBorder="1" applyAlignment="1">
      <alignment horizontal="center"/>
    </xf>
    <xf numFmtId="0" fontId="26" fillId="33" borderId="33" xfId="0" applyFont="1" applyFill="1" applyBorder="1" applyAlignment="1">
      <alignment horizontal="center"/>
    </xf>
    <xf numFmtId="0" fontId="27" fillId="33" borderId="34" xfId="0" applyFont="1" applyFill="1" applyBorder="1" applyAlignment="1">
      <alignment/>
    </xf>
    <xf numFmtId="49" fontId="0" fillId="33" borderId="0" xfId="0" applyNumberFormat="1" applyFont="1" applyFill="1" applyBorder="1" applyAlignment="1">
      <alignment/>
    </xf>
    <xf numFmtId="0" fontId="27" fillId="33" borderId="0" xfId="0" applyFont="1" applyFill="1" applyBorder="1" applyAlignment="1">
      <alignment horizontal="justify" vertical="top" wrapText="1"/>
    </xf>
    <xf numFmtId="0" fontId="2" fillId="33" borderId="0" xfId="0" applyFont="1" applyFill="1" applyBorder="1" applyAlignment="1">
      <alignment vertical="center"/>
    </xf>
    <xf numFmtId="0" fontId="25" fillId="33" borderId="0" xfId="0" applyFont="1" applyFill="1" applyBorder="1" applyAlignment="1">
      <alignment horizontal="center"/>
    </xf>
    <xf numFmtId="0" fontId="26" fillId="33" borderId="0" xfId="0" applyFont="1" applyFill="1" applyBorder="1" applyAlignment="1">
      <alignment horizontal="center"/>
    </xf>
    <xf numFmtId="0" fontId="27" fillId="33" borderId="0" xfId="0" applyFont="1" applyFill="1" applyBorder="1" applyAlignment="1">
      <alignment/>
    </xf>
    <xf numFmtId="0" fontId="0" fillId="33" borderId="0" xfId="0" applyFont="1" applyFill="1" applyBorder="1" applyAlignment="1">
      <alignment horizontal="justify" wrapText="1"/>
    </xf>
    <xf numFmtId="0" fontId="0" fillId="33" borderId="0" xfId="0" applyFont="1" applyFill="1" applyAlignment="1">
      <alignment vertical="center"/>
    </xf>
    <xf numFmtId="4" fontId="0" fillId="33" borderId="0" xfId="0" applyNumberFormat="1" applyFont="1" applyFill="1" applyAlignment="1">
      <alignment vertical="center"/>
    </xf>
    <xf numFmtId="1" fontId="10" fillId="33" borderId="13" xfId="0" applyNumberFormat="1" applyFont="1" applyFill="1" applyBorder="1" applyAlignment="1">
      <alignment horizontal="center" vertical="center"/>
    </xf>
    <xf numFmtId="4" fontId="9" fillId="0" borderId="15" xfId="0" applyNumberFormat="1" applyFont="1" applyFill="1" applyBorder="1" applyAlignment="1">
      <alignment horizontal="center" vertical="center"/>
    </xf>
    <xf numFmtId="10" fontId="9" fillId="0" borderId="15" xfId="53" applyNumberFormat="1" applyFont="1" applyFill="1" applyBorder="1" applyAlignment="1" applyProtection="1">
      <alignment horizontal="center" vertical="center"/>
      <protection/>
    </xf>
    <xf numFmtId="1" fontId="7" fillId="0" borderId="15" xfId="53" applyNumberFormat="1" applyFont="1" applyFill="1" applyBorder="1" applyAlignment="1" applyProtection="1">
      <alignment horizontal="center" vertical="center"/>
      <protection/>
    </xf>
    <xf numFmtId="10" fontId="7" fillId="0" borderId="15" xfId="53" applyNumberFormat="1" applyFont="1" applyFill="1" applyBorder="1" applyAlignment="1" applyProtection="1">
      <alignment vertical="center" wrapText="1"/>
      <protection/>
    </xf>
    <xf numFmtId="4" fontId="7" fillId="0" borderId="15" xfId="53" applyNumberFormat="1" applyFont="1" applyFill="1" applyBorder="1" applyAlignment="1" applyProtection="1">
      <alignment horizontal="center" vertical="center"/>
      <protection/>
    </xf>
    <xf numFmtId="10" fontId="7" fillId="0" borderId="15" xfId="53" applyNumberFormat="1" applyFont="1" applyFill="1" applyBorder="1" applyAlignment="1" applyProtection="1">
      <alignment vertical="center"/>
      <protection/>
    </xf>
    <xf numFmtId="4" fontId="7" fillId="0" borderId="15" xfId="53" applyNumberFormat="1" applyFont="1" applyFill="1" applyBorder="1" applyAlignment="1" applyProtection="1">
      <alignment vertical="center"/>
      <protection/>
    </xf>
    <xf numFmtId="10" fontId="0" fillId="0" borderId="15" xfId="53" applyNumberFormat="1" applyFont="1" applyFill="1" applyBorder="1" applyAlignment="1" applyProtection="1">
      <alignment vertical="center" wrapText="1"/>
      <protection/>
    </xf>
    <xf numFmtId="0" fontId="0" fillId="0" borderId="0" xfId="0" applyNumberFormat="1" applyAlignment="1">
      <alignment/>
    </xf>
    <xf numFmtId="4" fontId="29" fillId="0" borderId="15" xfId="53" applyNumberFormat="1" applyFont="1" applyFill="1" applyBorder="1" applyAlignment="1" applyProtection="1">
      <alignment horizontal="center" vertical="center"/>
      <protection/>
    </xf>
    <xf numFmtId="10" fontId="29" fillId="0" borderId="15" xfId="53" applyNumberFormat="1" applyFont="1" applyFill="1" applyBorder="1" applyAlignment="1" applyProtection="1">
      <alignment vertical="center"/>
      <protection/>
    </xf>
    <xf numFmtId="4" fontId="29" fillId="0" borderId="15" xfId="53" applyNumberFormat="1" applyFont="1" applyFill="1" applyBorder="1" applyAlignment="1" applyProtection="1">
      <alignment vertical="center"/>
      <protection/>
    </xf>
    <xf numFmtId="0" fontId="6" fillId="33" borderId="14" xfId="0" applyNumberFormat="1" applyFont="1" applyFill="1" applyBorder="1" applyAlignment="1" applyProtection="1">
      <alignment horizontal="right" vertical="center" wrapText="1"/>
      <protection locked="0"/>
    </xf>
    <xf numFmtId="44" fontId="1" fillId="33" borderId="0" xfId="45" applyFill="1" applyAlignment="1">
      <alignment horizontal="center" vertical="center"/>
    </xf>
    <xf numFmtId="0" fontId="6" fillId="33" borderId="12" xfId="0" applyNumberFormat="1" applyFont="1" applyFill="1" applyBorder="1" applyAlignment="1" applyProtection="1">
      <alignment vertical="center"/>
      <protection locked="0"/>
    </xf>
    <xf numFmtId="4" fontId="6" fillId="33" borderId="14" xfId="66" applyNumberFormat="1" applyFont="1" applyFill="1" applyBorder="1" applyAlignment="1" applyProtection="1">
      <alignment horizontal="center" vertical="center"/>
      <protection locked="0"/>
    </xf>
    <xf numFmtId="0" fontId="6" fillId="33" borderId="14" xfId="0" applyNumberFormat="1" applyFont="1" applyFill="1" applyBorder="1" applyAlignment="1" applyProtection="1">
      <alignment horizontal="center" vertical="center" wrapText="1"/>
      <protection locked="0"/>
    </xf>
    <xf numFmtId="0" fontId="6" fillId="33" borderId="0" xfId="0" applyNumberFormat="1" applyFont="1" applyFill="1" applyBorder="1" applyAlignment="1" applyProtection="1">
      <alignment horizontal="right" vertical="center" wrapText="1"/>
      <protection locked="0"/>
    </xf>
    <xf numFmtId="44" fontId="2" fillId="33" borderId="0" xfId="0" applyNumberFormat="1" applyFont="1" applyFill="1" applyAlignment="1">
      <alignment horizontal="center" vertical="center"/>
    </xf>
    <xf numFmtId="172" fontId="6" fillId="33" borderId="15" xfId="0" applyNumberFormat="1" applyFont="1" applyFill="1" applyBorder="1" applyAlignment="1" applyProtection="1">
      <alignment horizontal="right" vertical="center" wrapText="1"/>
      <protection locked="0"/>
    </xf>
    <xf numFmtId="0" fontId="1" fillId="33" borderId="27" xfId="0" applyFont="1" applyFill="1" applyBorder="1" applyAlignment="1">
      <alignment vertical="center" wrapText="1"/>
    </xf>
    <xf numFmtId="0" fontId="17" fillId="33" borderId="27" xfId="0" applyFont="1" applyFill="1" applyBorder="1" applyAlignment="1">
      <alignment vertical="center" wrapText="1"/>
    </xf>
    <xf numFmtId="0" fontId="17" fillId="33" borderId="0" xfId="0" applyFont="1" applyFill="1" applyBorder="1" applyAlignment="1">
      <alignment vertical="center" wrapText="1"/>
    </xf>
    <xf numFmtId="0" fontId="9" fillId="33" borderId="27" xfId="0" applyFont="1" applyFill="1" applyBorder="1" applyAlignment="1">
      <alignment vertical="center" wrapText="1"/>
    </xf>
    <xf numFmtId="0" fontId="18" fillId="33" borderId="27" xfId="0" applyFont="1" applyFill="1" applyBorder="1" applyAlignment="1">
      <alignment vertical="center" wrapText="1"/>
    </xf>
    <xf numFmtId="0" fontId="18" fillId="33" borderId="0" xfId="0" applyFont="1" applyFill="1" applyBorder="1" applyAlignment="1">
      <alignment vertical="center" wrapText="1"/>
    </xf>
    <xf numFmtId="2" fontId="30" fillId="0" borderId="0" xfId="0" applyNumberFormat="1" applyFont="1" applyAlignment="1">
      <alignment/>
    </xf>
    <xf numFmtId="0" fontId="10" fillId="35" borderId="0" xfId="0" applyFont="1" applyFill="1" applyBorder="1" applyAlignment="1" applyProtection="1">
      <alignment vertical="center" wrapText="1"/>
      <protection locked="0"/>
    </xf>
    <xf numFmtId="0" fontId="10" fillId="35" borderId="0" xfId="53" applyNumberFormat="1" applyFont="1" applyFill="1" applyBorder="1" applyAlignment="1" applyProtection="1">
      <alignment vertical="center" wrapText="1"/>
      <protection locked="0"/>
    </xf>
    <xf numFmtId="0" fontId="10" fillId="0" borderId="35" xfId="51" applyFont="1" applyFill="1" applyBorder="1" applyAlignment="1" applyProtection="1">
      <alignment horizontal="center" vertical="center" wrapText="1"/>
      <protection locked="0"/>
    </xf>
    <xf numFmtId="0" fontId="8" fillId="33" borderId="22" xfId="0" applyNumberFormat="1" applyFont="1" applyFill="1" applyBorder="1" applyAlignment="1" applyProtection="1">
      <alignment horizontal="center" vertical="center" wrapText="1"/>
      <protection locked="0"/>
    </xf>
    <xf numFmtId="0" fontId="5" fillId="33" borderId="24" xfId="0" applyFont="1" applyFill="1" applyBorder="1" applyAlignment="1" applyProtection="1">
      <alignment horizontal="justify" vertical="center" wrapText="1"/>
      <protection locked="0"/>
    </xf>
    <xf numFmtId="0" fontId="10" fillId="0" borderId="35" xfId="51" applyFont="1" applyFill="1" applyBorder="1" applyAlignment="1" applyProtection="1">
      <alignment horizontal="center" vertical="center" wrapText="1"/>
      <protection locked="0"/>
    </xf>
    <xf numFmtId="0" fontId="10" fillId="33" borderId="24" xfId="0" applyFont="1" applyFill="1" applyBorder="1" applyAlignment="1" applyProtection="1">
      <alignment horizontal="justify" vertical="center" wrapText="1"/>
      <protection locked="0"/>
    </xf>
    <xf numFmtId="4" fontId="10" fillId="35" borderId="0" xfId="53" applyNumberFormat="1" applyFont="1" applyFill="1" applyBorder="1" applyAlignment="1" applyProtection="1">
      <alignment vertical="center" wrapText="1"/>
      <protection locked="0"/>
    </xf>
    <xf numFmtId="166" fontId="6" fillId="33" borderId="15" xfId="0" applyNumberFormat="1" applyFont="1" applyFill="1" applyBorder="1" applyAlignment="1" applyProtection="1">
      <alignment horizontal="center" vertical="center" wrapText="1"/>
      <protection locked="0"/>
    </xf>
    <xf numFmtId="166" fontId="8" fillId="33" borderId="18" xfId="0" applyNumberFormat="1" applyFont="1" applyFill="1" applyBorder="1" applyAlignment="1" applyProtection="1">
      <alignment horizontal="center" vertical="center" wrapText="1"/>
      <protection locked="0"/>
    </xf>
    <xf numFmtId="166" fontId="5" fillId="33" borderId="0" xfId="0" applyNumberFormat="1" applyFont="1" applyFill="1" applyBorder="1" applyAlignment="1" applyProtection="1">
      <alignment horizontal="center" vertical="center" wrapText="1"/>
      <protection locked="0"/>
    </xf>
    <xf numFmtId="166" fontId="6" fillId="33" borderId="20" xfId="0" applyNumberFormat="1" applyFont="1" applyFill="1" applyBorder="1" applyAlignment="1" applyProtection="1">
      <alignment horizontal="center" vertical="center" wrapText="1"/>
      <protection locked="0"/>
    </xf>
    <xf numFmtId="166" fontId="8" fillId="33" borderId="22" xfId="0" applyNumberFormat="1" applyFont="1" applyFill="1" applyBorder="1" applyAlignment="1" applyProtection="1">
      <alignment horizontal="center" vertical="center" wrapText="1"/>
      <protection locked="0"/>
    </xf>
    <xf numFmtId="166" fontId="10" fillId="33" borderId="0" xfId="0" applyNumberFormat="1" applyFont="1" applyFill="1" applyBorder="1" applyAlignment="1" applyProtection="1">
      <alignment horizontal="center" vertical="center" wrapText="1"/>
      <protection locked="0"/>
    </xf>
    <xf numFmtId="166" fontId="15" fillId="33" borderId="20" xfId="0" applyNumberFormat="1" applyFont="1" applyFill="1" applyBorder="1" applyAlignment="1" applyProtection="1">
      <alignment horizontal="center" vertical="center" wrapText="1"/>
      <protection locked="0"/>
    </xf>
    <xf numFmtId="166" fontId="2" fillId="33" borderId="0" xfId="0" applyNumberFormat="1" applyFont="1" applyFill="1" applyAlignment="1">
      <alignment horizontal="center" vertical="center"/>
    </xf>
    <xf numFmtId="166" fontId="0" fillId="33" borderId="0" xfId="0" applyNumberFormat="1" applyFont="1" applyFill="1" applyAlignment="1">
      <alignment vertical="center"/>
    </xf>
    <xf numFmtId="166" fontId="4" fillId="33" borderId="0" xfId="0" applyNumberFormat="1" applyFont="1" applyFill="1" applyBorder="1" applyAlignment="1" applyProtection="1">
      <alignment horizontal="center" vertical="center" wrapText="1"/>
      <protection locked="0"/>
    </xf>
    <xf numFmtId="0" fontId="8" fillId="0" borderId="36" xfId="51" applyFont="1" applyFill="1" applyBorder="1" applyAlignment="1" applyProtection="1">
      <alignment horizontal="center" vertical="center" wrapText="1"/>
      <protection locked="0"/>
    </xf>
    <xf numFmtId="4" fontId="8" fillId="0" borderId="36" xfId="51" applyNumberFormat="1" applyFont="1" applyFill="1" applyBorder="1" applyAlignment="1" applyProtection="1">
      <alignment horizontal="center" vertical="center" wrapText="1"/>
      <protection locked="0"/>
    </xf>
    <xf numFmtId="0" fontId="5" fillId="0" borderId="36" xfId="51" applyFont="1" applyFill="1" applyBorder="1" applyAlignment="1" applyProtection="1">
      <alignment horizontal="justify" vertical="center" wrapText="1"/>
      <protection locked="0"/>
    </xf>
    <xf numFmtId="0" fontId="10" fillId="0" borderId="36" xfId="51" applyFont="1" applyFill="1" applyBorder="1" applyAlignment="1" applyProtection="1">
      <alignment horizontal="justify" vertical="center" wrapText="1"/>
      <protection locked="0"/>
    </xf>
    <xf numFmtId="0" fontId="10" fillId="33" borderId="22" xfId="0" applyFont="1" applyFill="1" applyBorder="1" applyAlignment="1" applyProtection="1">
      <alignment horizontal="center" vertical="center" wrapText="1"/>
      <protection locked="0"/>
    </xf>
    <xf numFmtId="49" fontId="10" fillId="33" borderId="21" xfId="0" applyNumberFormat="1" applyFont="1" applyFill="1" applyBorder="1" applyAlignment="1" applyProtection="1">
      <alignment horizontal="center" vertical="center" wrapText="1"/>
      <protection locked="0"/>
    </xf>
    <xf numFmtId="49" fontId="10" fillId="33" borderId="25" xfId="0" applyNumberFormat="1" applyFont="1" applyFill="1" applyBorder="1" applyAlignment="1" applyProtection="1">
      <alignment horizontal="center" vertical="center" wrapText="1"/>
      <protection locked="0"/>
    </xf>
    <xf numFmtId="165" fontId="10" fillId="33" borderId="22" xfId="0" applyNumberFormat="1" applyFont="1" applyFill="1" applyBorder="1" applyAlignment="1" applyProtection="1">
      <alignment horizontal="center" vertical="center" wrapText="1"/>
      <protection locked="0"/>
    </xf>
    <xf numFmtId="165" fontId="10" fillId="33" borderId="0" xfId="0" applyNumberFormat="1" applyFont="1" applyFill="1" applyBorder="1" applyAlignment="1" applyProtection="1">
      <alignment horizontal="center" vertical="center" wrapText="1"/>
      <protection locked="0"/>
    </xf>
    <xf numFmtId="0" fontId="6" fillId="33" borderId="37" xfId="0" applyFont="1" applyFill="1" applyBorder="1" applyAlignment="1" applyProtection="1">
      <alignment horizontal="center" vertical="center"/>
      <protection locked="0"/>
    </xf>
    <xf numFmtId="49" fontId="6" fillId="33" borderId="38" xfId="0" applyNumberFormat="1" applyFont="1" applyFill="1" applyBorder="1" applyAlignment="1" applyProtection="1">
      <alignment horizontal="left" vertical="center"/>
      <protection locked="0"/>
    </xf>
    <xf numFmtId="0" fontId="6" fillId="33" borderId="11" xfId="0" applyFont="1" applyFill="1" applyBorder="1" applyAlignment="1" applyProtection="1">
      <alignment horizontal="center" vertical="center"/>
      <protection locked="0"/>
    </xf>
    <xf numFmtId="49" fontId="6" fillId="33" borderId="11" xfId="0" applyNumberFormat="1" applyFont="1" applyFill="1" applyBorder="1" applyAlignment="1" applyProtection="1">
      <alignment horizontal="center" vertical="center"/>
      <protection locked="0"/>
    </xf>
    <xf numFmtId="49" fontId="6" fillId="33" borderId="39" xfId="0" applyNumberFormat="1" applyFont="1" applyFill="1" applyBorder="1" applyAlignment="1" applyProtection="1">
      <alignment horizontal="left" vertical="center"/>
      <protection locked="0"/>
    </xf>
    <xf numFmtId="49" fontId="6" fillId="33" borderId="17" xfId="0" applyNumberFormat="1"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wrapText="1"/>
      <protection locked="0"/>
    </xf>
    <xf numFmtId="4" fontId="6" fillId="33" borderId="13" xfId="66" applyNumberFormat="1"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6" fillId="33" borderId="13"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0" borderId="22" xfId="51" applyFont="1" applyFill="1" applyBorder="1" applyAlignment="1" applyProtection="1">
      <alignment horizontal="center" vertical="center" wrapText="1"/>
      <protection locked="0"/>
    </xf>
    <xf numFmtId="0" fontId="10" fillId="0" borderId="0" xfId="51" applyFont="1" applyFill="1" applyBorder="1" applyAlignment="1" applyProtection="1">
      <alignment horizontal="center" vertical="center" wrapText="1"/>
      <protection locked="0"/>
    </xf>
    <xf numFmtId="0" fontId="6" fillId="33" borderId="40" xfId="0" applyNumberFormat="1" applyFont="1" applyFill="1" applyBorder="1" applyAlignment="1" applyProtection="1">
      <alignment horizontal="right" vertical="center" wrapText="1"/>
      <protection locked="0"/>
    </xf>
    <xf numFmtId="0" fontId="21" fillId="33" borderId="37" xfId="0" applyFont="1" applyFill="1" applyBorder="1" applyAlignment="1" applyProtection="1">
      <alignment horizontal="center" vertical="center" wrapText="1"/>
      <protection locked="0"/>
    </xf>
    <xf numFmtId="0" fontId="6" fillId="33" borderId="13" xfId="0" applyNumberFormat="1" applyFont="1" applyFill="1" applyBorder="1" applyAlignment="1" applyProtection="1">
      <alignment horizontal="right" vertical="center" wrapText="1"/>
      <protection locked="0"/>
    </xf>
    <xf numFmtId="0" fontId="0" fillId="33" borderId="0" xfId="0" applyFont="1" applyFill="1" applyBorder="1" applyAlignment="1">
      <alignment horizontal="center"/>
    </xf>
    <xf numFmtId="0" fontId="6" fillId="33" borderId="37" xfId="0" applyFont="1" applyFill="1" applyBorder="1" applyAlignment="1" applyProtection="1">
      <alignment horizontal="left" vertical="center" wrapText="1"/>
      <protection locked="0"/>
    </xf>
    <xf numFmtId="0" fontId="6" fillId="33" borderId="31" xfId="0" applyFont="1" applyFill="1" applyBorder="1" applyAlignment="1" applyProtection="1">
      <alignment horizontal="center" vertical="center" wrapText="1"/>
      <protection locked="0"/>
    </xf>
    <xf numFmtId="0" fontId="6" fillId="33" borderId="41" xfId="0" applyFont="1" applyFill="1" applyBorder="1" applyAlignment="1" applyProtection="1">
      <alignment horizontal="left" vertical="center" wrapText="1"/>
      <protection locked="0"/>
    </xf>
    <xf numFmtId="0" fontId="6" fillId="33" borderId="14" xfId="0" applyNumberFormat="1" applyFont="1" applyFill="1" applyBorder="1" applyAlignment="1" applyProtection="1">
      <alignment horizontal="right" vertical="center" wrapText="1"/>
      <protection locked="0"/>
    </xf>
    <xf numFmtId="1" fontId="17" fillId="0" borderId="15" xfId="53" applyNumberFormat="1" applyFont="1" applyFill="1" applyBorder="1" applyAlignment="1" applyProtection="1">
      <alignment horizontal="center" vertical="center"/>
      <protection/>
    </xf>
    <xf numFmtId="49" fontId="10" fillId="33" borderId="15" xfId="0" applyNumberFormat="1" applyFont="1" applyFill="1" applyBorder="1" applyAlignment="1">
      <alignment horizontal="left" vertical="center" wrapText="1"/>
    </xf>
    <xf numFmtId="49" fontId="10" fillId="33" borderId="15" xfId="0" applyNumberFormat="1" applyFont="1" applyFill="1" applyBorder="1" applyAlignment="1">
      <alignment horizontal="left" vertical="center"/>
    </xf>
    <xf numFmtId="0" fontId="9" fillId="0" borderId="15" xfId="0" applyFont="1" applyFill="1" applyBorder="1" applyAlignment="1">
      <alignment horizontal="center" vertical="center"/>
    </xf>
    <xf numFmtId="10" fontId="9" fillId="0" borderId="15" xfId="0" applyNumberFormat="1" applyFont="1" applyFill="1" applyBorder="1" applyAlignment="1">
      <alignment horizontal="center" vertical="center"/>
    </xf>
    <xf numFmtId="1" fontId="28" fillId="0" borderId="15"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4" fontId="9" fillId="0" borderId="15" xfId="0" applyNumberFormat="1" applyFont="1" applyFill="1" applyBorder="1" applyAlignment="1">
      <alignment horizontal="center" vertical="center"/>
    </xf>
    <xf numFmtId="4" fontId="9" fillId="36" borderId="15" xfId="0" applyNumberFormat="1" applyFont="1" applyFill="1" applyBorder="1" applyAlignment="1">
      <alignment horizontal="center" vertical="center" wrapText="1"/>
    </xf>
    <xf numFmtId="10" fontId="9" fillId="0" borderId="15" xfId="53" applyNumberFormat="1" applyFont="1" applyFill="1" applyBorder="1" applyAlignment="1" applyProtection="1">
      <alignment horizontal="center" vertical="center"/>
      <protection/>
    </xf>
    <xf numFmtId="1" fontId="29" fillId="0" borderId="15" xfId="0" applyNumberFormat="1" applyFont="1" applyFill="1" applyBorder="1" applyAlignment="1">
      <alignment horizontal="left" vertical="center"/>
    </xf>
    <xf numFmtId="1" fontId="29" fillId="0" borderId="15" xfId="53" applyNumberFormat="1" applyFont="1" applyFill="1" applyBorder="1" applyAlignment="1" applyProtection="1">
      <alignment horizontal="center" vertical="center"/>
      <protection/>
    </xf>
    <xf numFmtId="10" fontId="6" fillId="37" borderId="15" xfId="0" applyNumberFormat="1" applyFont="1" applyFill="1" applyBorder="1" applyAlignment="1" applyProtection="1">
      <alignment horizontal="center" vertical="center"/>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Moeda 2 2" xfId="48"/>
    <cellStyle name="Neutra" xfId="49"/>
    <cellStyle name="Normal 2" xfId="50"/>
    <cellStyle name="Normal 3" xfId="51"/>
    <cellStyle name="Nota" xfId="52"/>
    <cellStyle name="Percent" xfId="53"/>
    <cellStyle name="Porcentagem 2" xfId="54"/>
    <cellStyle name="Porcentagem 3"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 name="Vírgula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180975</xdr:colOff>
      <xdr:row>0</xdr:row>
      <xdr:rowOff>628650</xdr:rowOff>
    </xdr:to>
    <xdr:grpSp>
      <xdr:nvGrpSpPr>
        <xdr:cNvPr id="1" name="Group 1"/>
        <xdr:cNvGrpSpPr>
          <a:grpSpLocks/>
        </xdr:cNvGrpSpPr>
      </xdr:nvGrpSpPr>
      <xdr:grpSpPr>
        <a:xfrm>
          <a:off x="0" y="0"/>
          <a:ext cx="1152525" cy="628650"/>
          <a:chOff x="0" y="0"/>
          <a:chExt cx="1571" cy="997"/>
        </a:xfrm>
        <a:solidFill>
          <a:srgbClr val="FFFFFF"/>
        </a:solidFill>
      </xdr:grpSpPr>
      <xdr:sp>
        <xdr:nvSpPr>
          <xdr:cNvPr id="2" name="Rectangle 2"/>
          <xdr:cNvSpPr>
            <a:spLocks/>
          </xdr:cNvSpPr>
        </xdr:nvSpPr>
        <xdr:spPr>
          <a:xfrm>
            <a:off x="0" y="0"/>
            <a:ext cx="1571" cy="997"/>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1571" cy="997"/>
          </a:xfrm>
          <a:prstGeom prst="rect">
            <a:avLst/>
          </a:prstGeom>
          <a:noFill/>
          <a:ln w="9525" cmpd="sng">
            <a:noFill/>
          </a:ln>
        </xdr:spPr>
      </xdr:pic>
      <xdr:sp>
        <xdr:nvSpPr>
          <xdr:cNvPr id="4" name="Rectangle 4"/>
          <xdr:cNvSpPr>
            <a:spLocks/>
          </xdr:cNvSpPr>
        </xdr:nvSpPr>
        <xdr:spPr>
          <a:xfrm>
            <a:off x="0" y="0"/>
            <a:ext cx="1571" cy="997"/>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180975</xdr:colOff>
      <xdr:row>0</xdr:row>
      <xdr:rowOff>628650</xdr:rowOff>
    </xdr:to>
    <xdr:grpSp>
      <xdr:nvGrpSpPr>
        <xdr:cNvPr id="5" name="Group 1"/>
        <xdr:cNvGrpSpPr>
          <a:grpSpLocks/>
        </xdr:cNvGrpSpPr>
      </xdr:nvGrpSpPr>
      <xdr:grpSpPr>
        <a:xfrm>
          <a:off x="0" y="0"/>
          <a:ext cx="1152525" cy="628650"/>
          <a:chOff x="0" y="0"/>
          <a:chExt cx="1571" cy="997"/>
        </a:xfrm>
        <a:solidFill>
          <a:srgbClr val="FFFFFF"/>
        </a:solidFill>
      </xdr:grpSpPr>
      <xdr:sp>
        <xdr:nvSpPr>
          <xdr:cNvPr id="6" name="Rectangle 2"/>
          <xdr:cNvSpPr>
            <a:spLocks/>
          </xdr:cNvSpPr>
        </xdr:nvSpPr>
        <xdr:spPr>
          <a:xfrm>
            <a:off x="0" y="0"/>
            <a:ext cx="1571" cy="997"/>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1571" cy="997"/>
          </a:xfrm>
          <a:prstGeom prst="rect">
            <a:avLst/>
          </a:prstGeom>
          <a:noFill/>
          <a:ln w="9525" cmpd="sng">
            <a:noFill/>
          </a:ln>
        </xdr:spPr>
      </xdr:pic>
      <xdr:sp>
        <xdr:nvSpPr>
          <xdr:cNvPr id="8" name="Rectangle 4"/>
          <xdr:cNvSpPr>
            <a:spLocks/>
          </xdr:cNvSpPr>
        </xdr:nvSpPr>
        <xdr:spPr>
          <a:xfrm>
            <a:off x="0" y="0"/>
            <a:ext cx="1571" cy="997"/>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29"/>
  <sheetViews>
    <sheetView tabSelected="1" view="pageBreakPreview" zoomScale="62" zoomScaleNormal="93" zoomScaleSheetLayoutView="62" zoomScalePageLayoutView="0" workbookViewId="0" topLeftCell="A429">
      <selection activeCell="D474" sqref="D474"/>
    </sheetView>
  </sheetViews>
  <sheetFormatPr defaultColWidth="8.421875" defaultRowHeight="15"/>
  <cols>
    <col min="1" max="1" width="14.57421875" style="1" customWidth="1"/>
    <col min="2" max="2" width="96.8515625" style="2" customWidth="1"/>
    <col min="3" max="3" width="20.57421875" style="3" customWidth="1"/>
    <col min="4" max="4" width="26.57421875" style="168" customWidth="1"/>
    <col min="5" max="6" width="19.8515625" style="5" customWidth="1"/>
    <col min="7" max="7" width="17.28125" style="4" customWidth="1"/>
    <col min="8" max="8" width="34.140625" style="6" customWidth="1"/>
    <col min="9" max="9" width="29.28125" style="7" customWidth="1"/>
    <col min="10" max="10" width="23.140625" style="8" customWidth="1"/>
    <col min="11" max="11" width="8.421875" style="9" customWidth="1"/>
    <col min="12" max="12" width="13.28125" style="9" customWidth="1"/>
    <col min="13" max="13" width="16.28125" style="9" bestFit="1" customWidth="1"/>
    <col min="14" max="16384" width="8.421875" style="9" customWidth="1"/>
  </cols>
  <sheetData>
    <row r="1" spans="1:10" s="11" customFormat="1" ht="49.5" customHeight="1">
      <c r="A1" s="10"/>
      <c r="B1" s="180" t="s">
        <v>506</v>
      </c>
      <c r="C1" s="180"/>
      <c r="D1" s="180"/>
      <c r="E1" s="180"/>
      <c r="F1" s="180"/>
      <c r="G1" s="180"/>
      <c r="H1" s="180"/>
      <c r="I1" s="180"/>
      <c r="J1" s="180"/>
    </row>
    <row r="2" spans="1:10" s="14" customFormat="1" ht="24.75" customHeight="1">
      <c r="A2" s="181" t="s">
        <v>509</v>
      </c>
      <c r="B2" s="181"/>
      <c r="C2" s="182"/>
      <c r="D2" s="182"/>
      <c r="E2" s="12"/>
      <c r="F2" s="140"/>
      <c r="G2" s="13"/>
      <c r="H2" s="183" t="s">
        <v>507</v>
      </c>
      <c r="I2" s="183"/>
      <c r="J2" s="183"/>
    </row>
    <row r="3" spans="1:10" s="14" customFormat="1" ht="24.75" customHeight="1">
      <c r="A3" s="184" t="s">
        <v>503</v>
      </c>
      <c r="B3" s="184"/>
      <c r="C3" s="15" t="s">
        <v>0</v>
      </c>
      <c r="D3" s="214">
        <v>0.05</v>
      </c>
      <c r="E3" s="16" t="s">
        <v>1</v>
      </c>
      <c r="F3" s="17"/>
      <c r="G3" s="17"/>
      <c r="H3" s="17"/>
      <c r="I3" s="17"/>
      <c r="J3" s="17"/>
    </row>
    <row r="4" spans="1:10" s="11" customFormat="1" ht="26.25" customHeight="1">
      <c r="A4" s="185" t="s">
        <v>2</v>
      </c>
      <c r="B4" s="186" t="s">
        <v>3</v>
      </c>
      <c r="C4" s="186" t="s">
        <v>4</v>
      </c>
      <c r="D4" s="187" t="s">
        <v>5</v>
      </c>
      <c r="E4" s="187"/>
      <c r="F4" s="141"/>
      <c r="G4" s="19">
        <f>G461</f>
        <v>592476.6258777601</v>
      </c>
      <c r="H4" s="188" t="s">
        <v>6</v>
      </c>
      <c r="I4" s="188"/>
      <c r="J4" s="188"/>
    </row>
    <row r="5" spans="1:12" s="21" customFormat="1" ht="37.5" customHeight="1">
      <c r="A5" s="185"/>
      <c r="B5" s="186"/>
      <c r="C5" s="186"/>
      <c r="D5" s="161" t="s">
        <v>7</v>
      </c>
      <c r="E5" s="20" t="s">
        <v>8</v>
      </c>
      <c r="F5" s="20" t="s">
        <v>508</v>
      </c>
      <c r="G5" s="18" t="s">
        <v>9</v>
      </c>
      <c r="H5" s="189" t="s">
        <v>10</v>
      </c>
      <c r="I5" s="189"/>
      <c r="J5" s="189"/>
      <c r="L5" s="22"/>
    </row>
    <row r="6" spans="1:12" s="30" customFormat="1" ht="18.75">
      <c r="A6" s="23" t="s">
        <v>11</v>
      </c>
      <c r="B6" s="24" t="s">
        <v>12</v>
      </c>
      <c r="C6" s="25"/>
      <c r="D6" s="162"/>
      <c r="E6" s="26"/>
      <c r="F6" s="26"/>
      <c r="G6" s="27"/>
      <c r="H6" s="28"/>
      <c r="I6" s="28"/>
      <c r="J6" s="153"/>
      <c r="L6" s="31"/>
    </row>
    <row r="7" spans="1:13" s="30" customFormat="1" ht="47.25">
      <c r="A7" s="32" t="s">
        <v>13</v>
      </c>
      <c r="B7" s="33" t="s">
        <v>14</v>
      </c>
      <c r="C7" s="34" t="s">
        <v>15</v>
      </c>
      <c r="D7" s="55">
        <f>28*18*0.5</f>
        <v>252</v>
      </c>
      <c r="E7" s="35">
        <v>7.61</v>
      </c>
      <c r="F7" s="35">
        <f>ROUND(E7*1.2288,2)</f>
        <v>9.35</v>
      </c>
      <c r="G7" s="36">
        <f>ROUND(F7*D7,2)</f>
        <v>2356.2</v>
      </c>
      <c r="H7" s="37" t="s">
        <v>528</v>
      </c>
      <c r="I7" s="38" t="s">
        <v>529</v>
      </c>
      <c r="J7" s="154"/>
      <c r="L7" s="40">
        <f>D7*F7</f>
        <v>2356.2</v>
      </c>
      <c r="M7" s="30">
        <f>D7*E7</f>
        <v>1917.72</v>
      </c>
    </row>
    <row r="8" spans="1:21" s="30" customFormat="1" ht="93.75" customHeight="1">
      <c r="A8" s="41"/>
      <c r="B8" s="42" t="s">
        <v>17</v>
      </c>
      <c r="C8" s="34"/>
      <c r="D8" s="55"/>
      <c r="E8" s="35"/>
      <c r="F8" s="35"/>
      <c r="G8" s="36"/>
      <c r="H8" s="43"/>
      <c r="I8" s="44"/>
      <c r="J8" s="154"/>
      <c r="K8" s="146">
        <f>28*18</f>
        <v>504</v>
      </c>
      <c r="L8" s="40">
        <f aca="true" t="shared" si="0" ref="L8:L19">D8*F8</f>
        <v>0</v>
      </c>
      <c r="M8" s="30">
        <f aca="true" t="shared" si="1" ref="M8:M77">D8*E8</f>
        <v>0</v>
      </c>
      <c r="N8" s="68"/>
      <c r="O8" s="68"/>
      <c r="P8" s="68"/>
      <c r="Q8" s="68"/>
      <c r="R8" s="68"/>
      <c r="S8" s="68"/>
      <c r="T8" s="68"/>
      <c r="U8" s="68"/>
    </row>
    <row r="9" spans="1:13" s="30" customFormat="1" ht="18.75">
      <c r="A9" s="41"/>
      <c r="B9" s="42"/>
      <c r="C9" s="34"/>
      <c r="D9" s="55"/>
      <c r="E9" s="35"/>
      <c r="F9" s="35"/>
      <c r="G9" s="36"/>
      <c r="H9" s="28"/>
      <c r="I9" s="38"/>
      <c r="J9" s="154"/>
      <c r="L9" s="40">
        <f t="shared" si="0"/>
        <v>0</v>
      </c>
      <c r="M9" s="30">
        <f t="shared" si="1"/>
        <v>0</v>
      </c>
    </row>
    <row r="10" spans="1:13" s="30" customFormat="1" ht="18.75">
      <c r="A10" s="41"/>
      <c r="B10" s="42"/>
      <c r="C10" s="34"/>
      <c r="D10" s="55"/>
      <c r="E10" s="35"/>
      <c r="F10" s="35"/>
      <c r="G10" s="36"/>
      <c r="H10" s="28"/>
      <c r="I10" s="38"/>
      <c r="J10" s="154"/>
      <c r="L10" s="40">
        <f t="shared" si="0"/>
        <v>0</v>
      </c>
      <c r="M10" s="30">
        <f t="shared" si="1"/>
        <v>0</v>
      </c>
    </row>
    <row r="11" spans="1:13" s="30" customFormat="1" ht="31.5">
      <c r="A11" s="41" t="s">
        <v>18</v>
      </c>
      <c r="B11" s="45" t="s">
        <v>19</v>
      </c>
      <c r="C11" s="34" t="s">
        <v>20</v>
      </c>
      <c r="D11" s="55">
        <v>1</v>
      </c>
      <c r="E11" s="35">
        <v>1121.47</v>
      </c>
      <c r="F11" s="35">
        <f>ROUND(E11*1.2288,2)</f>
        <v>1378.06</v>
      </c>
      <c r="G11" s="36">
        <f>ROUND(F11*D11,2)</f>
        <v>1378.06</v>
      </c>
      <c r="H11" s="28">
        <v>1</v>
      </c>
      <c r="I11" s="38" t="s">
        <v>21</v>
      </c>
      <c r="J11" s="154"/>
      <c r="L11" s="40">
        <f t="shared" si="0"/>
        <v>1378.06</v>
      </c>
      <c r="M11" s="30">
        <f t="shared" si="1"/>
        <v>1121.47</v>
      </c>
    </row>
    <row r="12" spans="1:13" s="30" customFormat="1" ht="126">
      <c r="A12" s="41"/>
      <c r="B12" s="46" t="s">
        <v>22</v>
      </c>
      <c r="C12" s="34"/>
      <c r="D12" s="55"/>
      <c r="E12" s="35"/>
      <c r="F12" s="35"/>
      <c r="G12" s="36"/>
      <c r="H12" s="47"/>
      <c r="I12" s="48"/>
      <c r="J12" s="154"/>
      <c r="L12" s="40">
        <f t="shared" si="0"/>
        <v>0</v>
      </c>
      <c r="M12" s="30">
        <f t="shared" si="1"/>
        <v>0</v>
      </c>
    </row>
    <row r="13" spans="1:13" s="30" customFormat="1" ht="18.75">
      <c r="A13" s="41"/>
      <c r="B13" s="49"/>
      <c r="C13" s="34"/>
      <c r="D13" s="55"/>
      <c r="E13" s="35"/>
      <c r="F13" s="35"/>
      <c r="G13" s="36"/>
      <c r="H13" s="28"/>
      <c r="I13" s="38"/>
      <c r="J13" s="154"/>
      <c r="L13" s="40">
        <f t="shared" si="0"/>
        <v>0</v>
      </c>
      <c r="M13" s="30">
        <f t="shared" si="1"/>
        <v>0</v>
      </c>
    </row>
    <row r="14" spans="1:13" s="30" customFormat="1" ht="31.5">
      <c r="A14" s="41" t="s">
        <v>23</v>
      </c>
      <c r="B14" s="49" t="s">
        <v>24</v>
      </c>
      <c r="C14" s="34" t="s">
        <v>25</v>
      </c>
      <c r="D14" s="55">
        <f>31*21+9</f>
        <v>660</v>
      </c>
      <c r="E14" s="35">
        <v>1.04</v>
      </c>
      <c r="F14" s="35">
        <f>ROUND(E14*1.2288,2)</f>
        <v>1.28</v>
      </c>
      <c r="G14" s="36">
        <f>ROUND(F14*D14,2)</f>
        <v>844.8</v>
      </c>
      <c r="H14" s="28" t="s">
        <v>26</v>
      </c>
      <c r="I14" s="38" t="s">
        <v>27</v>
      </c>
      <c r="J14" s="154"/>
      <c r="L14" s="40">
        <f t="shared" si="0"/>
        <v>844.8000000000001</v>
      </c>
      <c r="M14" s="30">
        <f t="shared" si="1"/>
        <v>686.4</v>
      </c>
    </row>
    <row r="15" spans="1:13" s="30" customFormat="1" ht="126">
      <c r="A15" s="41"/>
      <c r="B15" s="42" t="s">
        <v>28</v>
      </c>
      <c r="C15" s="34"/>
      <c r="D15" s="55"/>
      <c r="E15" s="35"/>
      <c r="F15" s="35"/>
      <c r="G15" s="36"/>
      <c r="H15" s="50"/>
      <c r="I15" s="29"/>
      <c r="J15" s="154"/>
      <c r="L15" s="40">
        <f t="shared" si="0"/>
        <v>0</v>
      </c>
      <c r="M15" s="30">
        <f t="shared" si="1"/>
        <v>0</v>
      </c>
    </row>
    <row r="16" spans="1:13" s="30" customFormat="1" ht="18.75">
      <c r="A16" s="41"/>
      <c r="B16" s="49"/>
      <c r="C16" s="34"/>
      <c r="D16" s="55"/>
      <c r="E16" s="35"/>
      <c r="F16" s="35"/>
      <c r="G16" s="36"/>
      <c r="H16" s="28"/>
      <c r="I16" s="38"/>
      <c r="J16" s="154"/>
      <c r="L16" s="40">
        <f t="shared" si="0"/>
        <v>0</v>
      </c>
      <c r="M16" s="30">
        <f>D16*E16</f>
        <v>0</v>
      </c>
    </row>
    <row r="17" spans="1:13" s="30" customFormat="1" ht="18.75">
      <c r="A17" s="41"/>
      <c r="B17" s="49"/>
      <c r="C17" s="34"/>
      <c r="D17" s="55"/>
      <c r="E17" s="35"/>
      <c r="F17" s="35"/>
      <c r="G17" s="36"/>
      <c r="H17" s="28"/>
      <c r="I17" s="38"/>
      <c r="J17" s="154"/>
      <c r="L17" s="40">
        <f t="shared" si="0"/>
        <v>0</v>
      </c>
      <c r="M17" s="30">
        <f t="shared" si="1"/>
        <v>0</v>
      </c>
    </row>
    <row r="18" spans="1:13" s="30" customFormat="1" ht="58.5" customHeight="1">
      <c r="A18" s="41" t="s">
        <v>29</v>
      </c>
      <c r="B18" s="49" t="s">
        <v>30</v>
      </c>
      <c r="C18" s="34" t="s">
        <v>15</v>
      </c>
      <c r="D18" s="55"/>
      <c r="E18" s="35">
        <v>418.27</v>
      </c>
      <c r="F18" s="35">
        <f>ROUND(E18*1.2288,2)</f>
        <v>513.97</v>
      </c>
      <c r="G18" s="36">
        <f>ROUND(F18*D18,2)</f>
        <v>0</v>
      </c>
      <c r="H18" s="28" t="s">
        <v>31</v>
      </c>
      <c r="I18" s="38" t="s">
        <v>32</v>
      </c>
      <c r="J18" s="154"/>
      <c r="L18" s="40">
        <f t="shared" si="0"/>
        <v>0</v>
      </c>
      <c r="M18" s="30">
        <f t="shared" si="1"/>
        <v>0</v>
      </c>
    </row>
    <row r="19" spans="1:13" s="30" customFormat="1" ht="220.5">
      <c r="A19" s="41"/>
      <c r="B19" s="42" t="s">
        <v>33</v>
      </c>
      <c r="C19" s="34"/>
      <c r="D19" s="55"/>
      <c r="E19" s="35"/>
      <c r="F19" s="35"/>
      <c r="G19" s="36"/>
      <c r="H19" s="50"/>
      <c r="I19" s="29"/>
      <c r="J19" s="154"/>
      <c r="L19" s="40">
        <f t="shared" si="0"/>
        <v>0</v>
      </c>
      <c r="M19" s="30">
        <f t="shared" si="1"/>
        <v>0</v>
      </c>
    </row>
    <row r="20" spans="1:12" s="30" customFormat="1" ht="18.75">
      <c r="A20" s="41"/>
      <c r="B20" s="42"/>
      <c r="C20" s="34"/>
      <c r="D20" s="55"/>
      <c r="E20" s="35"/>
      <c r="F20" s="35"/>
      <c r="G20" s="36"/>
      <c r="H20" s="29"/>
      <c r="I20" s="29"/>
      <c r="J20" s="154"/>
      <c r="L20" s="40"/>
    </row>
    <row r="21" spans="1:12" s="30" customFormat="1" ht="32.25" customHeight="1">
      <c r="A21" s="41" t="s">
        <v>530</v>
      </c>
      <c r="B21" s="174" t="s">
        <v>531</v>
      </c>
      <c r="C21" s="171" t="s">
        <v>15</v>
      </c>
      <c r="D21" s="172">
        <v>74.8</v>
      </c>
      <c r="E21" s="172">
        <v>134.41</v>
      </c>
      <c r="F21" s="35">
        <f>ROUND(E21*1.2288,2)</f>
        <v>165.16</v>
      </c>
      <c r="G21" s="36">
        <f>ROUND(F21*D21,2)</f>
        <v>12353.97</v>
      </c>
      <c r="H21" s="29"/>
      <c r="I21" s="29"/>
      <c r="J21" s="154"/>
      <c r="L21" s="40"/>
    </row>
    <row r="22" spans="1:12" s="30" customFormat="1" ht="94.5">
      <c r="A22" s="41"/>
      <c r="B22" s="173" t="s">
        <v>532</v>
      </c>
      <c r="C22" s="171"/>
      <c r="D22" s="172"/>
      <c r="E22" s="172"/>
      <c r="F22" s="35"/>
      <c r="G22" s="36"/>
      <c r="H22" s="175" t="s">
        <v>533</v>
      </c>
      <c r="I22" s="191"/>
      <c r="J22" s="154"/>
      <c r="L22" s="40"/>
    </row>
    <row r="23" spans="1:13" s="30" customFormat="1" ht="18.75">
      <c r="A23" s="41"/>
      <c r="B23" s="42"/>
      <c r="C23" s="34"/>
      <c r="D23" s="55"/>
      <c r="E23" s="35"/>
      <c r="F23" s="35"/>
      <c r="G23" s="36"/>
      <c r="H23" s="28"/>
      <c r="I23" s="38"/>
      <c r="J23" s="154"/>
      <c r="L23" s="152">
        <f>SUM(L7:L19)</f>
        <v>4579.0599999999995</v>
      </c>
      <c r="M23" s="30">
        <f t="shared" si="1"/>
        <v>0</v>
      </c>
    </row>
    <row r="24" spans="1:14" s="30" customFormat="1" ht="18" customHeight="1">
      <c r="A24" s="41"/>
      <c r="B24" s="49"/>
      <c r="C24" s="190" t="s">
        <v>34</v>
      </c>
      <c r="D24" s="190"/>
      <c r="E24" s="190"/>
      <c r="F24" s="142"/>
      <c r="G24" s="51">
        <f>SUM(G7:G23)</f>
        <v>16933.03</v>
      </c>
      <c r="H24" s="28"/>
      <c r="I24" s="38"/>
      <c r="J24" s="154"/>
      <c r="K24" s="52"/>
      <c r="L24" s="40"/>
      <c r="M24" s="30">
        <f t="shared" si="1"/>
        <v>0</v>
      </c>
      <c r="N24" s="52"/>
    </row>
    <row r="25" spans="1:13" s="30" customFormat="1" ht="18.75">
      <c r="A25" s="23" t="s">
        <v>35</v>
      </c>
      <c r="B25" s="24" t="s">
        <v>36</v>
      </c>
      <c r="C25" s="25"/>
      <c r="D25" s="162"/>
      <c r="E25" s="35"/>
      <c r="F25" s="35"/>
      <c r="G25" s="36"/>
      <c r="H25" s="28"/>
      <c r="I25" s="38"/>
      <c r="J25" s="154"/>
      <c r="L25" s="40"/>
      <c r="M25" s="30">
        <f t="shared" si="1"/>
        <v>0</v>
      </c>
    </row>
    <row r="26" spans="1:13" s="30" customFormat="1" ht="209.25" customHeight="1">
      <c r="A26" s="41" t="s">
        <v>37</v>
      </c>
      <c r="B26" s="49" t="s">
        <v>38</v>
      </c>
      <c r="C26" s="34" t="s">
        <v>39</v>
      </c>
      <c r="D26" s="55">
        <f>ROUND(139.66+4.6*2*1.5*0.19+10*1.5*0.4+3.38*1.5*0.8+(2.35+3.89)*0.25+3.89*2.36*0.4+3.75*5*0.4+(18*2+15*2)*1.5*0.05,2)</f>
        <v>170.02</v>
      </c>
      <c r="E26" s="35">
        <v>53.41</v>
      </c>
      <c r="F26" s="35">
        <f>ROUND(E26*1.2288,2)</f>
        <v>65.63</v>
      </c>
      <c r="G26" s="36">
        <f>ROUND(F26*D26,2)</f>
        <v>11158.41</v>
      </c>
      <c r="H26" s="175" t="s">
        <v>512</v>
      </c>
      <c r="I26" s="191"/>
      <c r="J26" s="154"/>
      <c r="L26" s="40">
        <f>D26*F26</f>
        <v>11158.4126</v>
      </c>
      <c r="M26" s="30">
        <f t="shared" si="1"/>
        <v>9080.7682</v>
      </c>
    </row>
    <row r="27" spans="1:13" s="30" customFormat="1" ht="63">
      <c r="A27" s="41"/>
      <c r="B27" s="42" t="s">
        <v>40</v>
      </c>
      <c r="C27" s="34"/>
      <c r="D27" s="55"/>
      <c r="E27" s="35"/>
      <c r="F27" s="35"/>
      <c r="G27" s="36"/>
      <c r="H27" s="28"/>
      <c r="I27" s="38"/>
      <c r="J27" s="154"/>
      <c r="L27" s="40">
        <f aca="true" t="shared" si="2" ref="L27:L41">D27*F27</f>
        <v>0</v>
      </c>
      <c r="M27" s="30">
        <f t="shared" si="1"/>
        <v>0</v>
      </c>
    </row>
    <row r="28" spans="1:13" s="30" customFormat="1" ht="18.75">
      <c r="A28" s="41"/>
      <c r="B28" s="49"/>
      <c r="C28" s="34"/>
      <c r="D28" s="55"/>
      <c r="E28" s="35"/>
      <c r="F28" s="35"/>
      <c r="G28" s="36"/>
      <c r="H28" s="28"/>
      <c r="I28" s="38"/>
      <c r="J28" s="154"/>
      <c r="L28" s="40">
        <f t="shared" si="2"/>
        <v>0</v>
      </c>
      <c r="M28" s="30">
        <f t="shared" si="1"/>
        <v>0</v>
      </c>
    </row>
    <row r="29" spans="1:13" s="30" customFormat="1" ht="112.5">
      <c r="A29" s="41" t="s">
        <v>41</v>
      </c>
      <c r="B29" s="49" t="s">
        <v>42</v>
      </c>
      <c r="C29" s="34" t="s">
        <v>39</v>
      </c>
      <c r="D29" s="55">
        <f>+ROUND(42.25*0.7,2)</f>
        <v>29.58</v>
      </c>
      <c r="E29" s="35">
        <v>53.41</v>
      </c>
      <c r="F29" s="35">
        <f>ROUND(E29*1.2288,2)</f>
        <v>65.63</v>
      </c>
      <c r="G29" s="36">
        <f>ROUND(F29*D29,2)</f>
        <v>1941.34</v>
      </c>
      <c r="H29" s="35" t="s">
        <v>513</v>
      </c>
      <c r="I29" s="38" t="s">
        <v>43</v>
      </c>
      <c r="J29" s="154"/>
      <c r="L29" s="40">
        <f t="shared" si="2"/>
        <v>1941.3353999999997</v>
      </c>
      <c r="M29" s="30">
        <f t="shared" si="1"/>
        <v>1579.8677999999998</v>
      </c>
    </row>
    <row r="30" spans="1:13" s="30" customFormat="1" ht="63">
      <c r="A30" s="41"/>
      <c r="B30" s="42" t="s">
        <v>44</v>
      </c>
      <c r="C30" s="34"/>
      <c r="D30" s="55"/>
      <c r="E30" s="35"/>
      <c r="F30" s="35"/>
      <c r="G30" s="36"/>
      <c r="H30" s="28"/>
      <c r="I30" s="38"/>
      <c r="J30" s="154"/>
      <c r="L30" s="40">
        <f t="shared" si="2"/>
        <v>0</v>
      </c>
      <c r="M30" s="30">
        <f t="shared" si="1"/>
        <v>0</v>
      </c>
    </row>
    <row r="31" spans="1:13" s="30" customFormat="1" ht="18.75">
      <c r="A31" s="41"/>
      <c r="B31" s="49"/>
      <c r="C31" s="34"/>
      <c r="D31" s="55"/>
      <c r="E31" s="35"/>
      <c r="F31" s="35"/>
      <c r="G31" s="36"/>
      <c r="H31" s="28"/>
      <c r="I31" s="38"/>
      <c r="J31" s="154"/>
      <c r="L31" s="40">
        <f t="shared" si="2"/>
        <v>0</v>
      </c>
      <c r="M31" s="30">
        <f t="shared" si="1"/>
        <v>0</v>
      </c>
    </row>
    <row r="32" spans="1:13" s="30" customFormat="1" ht="31.5">
      <c r="A32" s="41" t="s">
        <v>45</v>
      </c>
      <c r="B32" s="49" t="s">
        <v>46</v>
      </c>
      <c r="C32" s="34" t="s">
        <v>39</v>
      </c>
      <c r="D32" s="55">
        <v>9.02</v>
      </c>
      <c r="E32" s="35">
        <v>31.42</v>
      </c>
      <c r="F32" s="35">
        <f>ROUND(E32*1.2288,2)</f>
        <v>38.61</v>
      </c>
      <c r="G32" s="36">
        <f>ROUND(F32*D32,2)</f>
        <v>348.26</v>
      </c>
      <c r="H32" s="28" t="s">
        <v>47</v>
      </c>
      <c r="I32" s="38" t="s">
        <v>48</v>
      </c>
      <c r="J32" s="154"/>
      <c r="L32" s="40">
        <f t="shared" si="2"/>
        <v>348.26219999999995</v>
      </c>
      <c r="M32" s="30">
        <f t="shared" si="1"/>
        <v>283.40840000000003</v>
      </c>
    </row>
    <row r="33" spans="1:13" s="30" customFormat="1" ht="47.25">
      <c r="A33" s="41"/>
      <c r="B33" s="42" t="s">
        <v>49</v>
      </c>
      <c r="C33" s="34"/>
      <c r="D33" s="55"/>
      <c r="E33" s="35"/>
      <c r="F33" s="35"/>
      <c r="G33" s="36"/>
      <c r="H33" s="28"/>
      <c r="I33" s="38"/>
      <c r="J33" s="154"/>
      <c r="L33" s="40">
        <f t="shared" si="2"/>
        <v>0</v>
      </c>
      <c r="M33" s="30">
        <f t="shared" si="1"/>
        <v>0</v>
      </c>
    </row>
    <row r="34" spans="1:13" s="30" customFormat="1" ht="18.75">
      <c r="A34" s="41"/>
      <c r="B34" s="49"/>
      <c r="C34" s="34"/>
      <c r="D34" s="55"/>
      <c r="E34" s="35"/>
      <c r="F34" s="35"/>
      <c r="G34" s="36"/>
      <c r="H34" s="28"/>
      <c r="I34" s="38"/>
      <c r="J34" s="154"/>
      <c r="L34" s="40">
        <f t="shared" si="2"/>
        <v>0</v>
      </c>
      <c r="M34" s="30">
        <f t="shared" si="1"/>
        <v>0</v>
      </c>
    </row>
    <row r="35" spans="1:13" s="30" customFormat="1" ht="18.75">
      <c r="A35" s="41"/>
      <c r="B35" s="49"/>
      <c r="C35" s="34"/>
      <c r="D35" s="55"/>
      <c r="E35" s="35"/>
      <c r="F35" s="35"/>
      <c r="G35" s="36"/>
      <c r="H35" s="28"/>
      <c r="I35" s="38"/>
      <c r="J35" s="154"/>
      <c r="L35" s="40">
        <f t="shared" si="2"/>
        <v>0</v>
      </c>
      <c r="M35" s="30">
        <f t="shared" si="1"/>
        <v>0</v>
      </c>
    </row>
    <row r="36" spans="1:13" s="30" customFormat="1" ht="92.25" customHeight="1">
      <c r="A36" s="41" t="s">
        <v>50</v>
      </c>
      <c r="B36" s="49" t="s">
        <v>51</v>
      </c>
      <c r="C36" s="34" t="s">
        <v>39</v>
      </c>
      <c r="D36" s="55">
        <v>12.73</v>
      </c>
      <c r="E36" s="35">
        <v>53.41</v>
      </c>
      <c r="F36" s="35">
        <f>ROUND(E36*1.2288,2)</f>
        <v>65.63</v>
      </c>
      <c r="G36" s="36">
        <f>ROUND(F36*D36,2)</f>
        <v>835.47</v>
      </c>
      <c r="H36" s="155" t="s">
        <v>514</v>
      </c>
      <c r="I36" s="38" t="s">
        <v>43</v>
      </c>
      <c r="J36" s="154"/>
      <c r="L36" s="40">
        <f t="shared" si="2"/>
        <v>835.4698999999999</v>
      </c>
      <c r="M36" s="30">
        <f t="shared" si="1"/>
        <v>679.9093</v>
      </c>
    </row>
    <row r="37" spans="1:13" s="30" customFormat="1" ht="46.5" customHeight="1">
      <c r="A37" s="41"/>
      <c r="B37" s="42" t="s">
        <v>52</v>
      </c>
      <c r="C37" s="34"/>
      <c r="D37" s="55"/>
      <c r="E37" s="35"/>
      <c r="F37" s="35"/>
      <c r="G37" s="36"/>
      <c r="H37" s="28"/>
      <c r="I37" s="38"/>
      <c r="J37" s="154"/>
      <c r="L37" s="40">
        <f t="shared" si="2"/>
        <v>0</v>
      </c>
      <c r="M37" s="30">
        <f t="shared" si="1"/>
        <v>0</v>
      </c>
    </row>
    <row r="38" spans="1:13" s="30" customFormat="1" ht="18.75">
      <c r="A38" s="41"/>
      <c r="B38" s="49"/>
      <c r="C38" s="34"/>
      <c r="D38" s="55"/>
      <c r="E38" s="35"/>
      <c r="F38" s="35"/>
      <c r="G38" s="36"/>
      <c r="H38" s="28"/>
      <c r="I38" s="38"/>
      <c r="J38" s="154"/>
      <c r="L38" s="40">
        <f t="shared" si="2"/>
        <v>0</v>
      </c>
      <c r="M38" s="30">
        <f t="shared" si="1"/>
        <v>0</v>
      </c>
    </row>
    <row r="39" spans="1:13" s="30" customFormat="1" ht="18.75" hidden="1">
      <c r="A39" s="41"/>
      <c r="B39" s="42"/>
      <c r="C39" s="34"/>
      <c r="D39" s="55"/>
      <c r="E39" s="35"/>
      <c r="F39" s="35"/>
      <c r="G39" s="36"/>
      <c r="H39" s="28"/>
      <c r="I39" s="38"/>
      <c r="J39" s="154"/>
      <c r="L39" s="40">
        <f t="shared" si="2"/>
        <v>0</v>
      </c>
      <c r="M39" s="30">
        <f t="shared" si="1"/>
        <v>0</v>
      </c>
    </row>
    <row r="40" spans="1:13" s="30" customFormat="1" ht="21" hidden="1">
      <c r="A40" s="41" t="s">
        <v>53</v>
      </c>
      <c r="B40" s="49" t="s">
        <v>54</v>
      </c>
      <c r="C40" s="34" t="s">
        <v>39</v>
      </c>
      <c r="D40" s="55"/>
      <c r="E40" s="35">
        <v>279.14</v>
      </c>
      <c r="F40" s="35">
        <f>ROUND(E40*1.2288,2)</f>
        <v>343.01</v>
      </c>
      <c r="G40" s="36">
        <f>ROUND(F40*D40,2)</f>
        <v>0</v>
      </c>
      <c r="H40" s="28"/>
      <c r="I40" s="38"/>
      <c r="J40" s="39"/>
      <c r="L40" s="40">
        <f t="shared" si="2"/>
        <v>0</v>
      </c>
      <c r="M40" s="30">
        <f t="shared" si="1"/>
        <v>0</v>
      </c>
    </row>
    <row r="41" spans="1:13" s="30" customFormat="1" ht="78.75" hidden="1">
      <c r="A41" s="41"/>
      <c r="B41" s="42" t="s">
        <v>55</v>
      </c>
      <c r="C41" s="34"/>
      <c r="D41" s="55"/>
      <c r="E41" s="35"/>
      <c r="F41" s="35"/>
      <c r="G41" s="36"/>
      <c r="H41" s="28"/>
      <c r="I41" s="38"/>
      <c r="J41" s="39"/>
      <c r="L41" s="40">
        <f t="shared" si="2"/>
        <v>0</v>
      </c>
      <c r="M41" s="30">
        <f t="shared" si="1"/>
        <v>0</v>
      </c>
    </row>
    <row r="42" spans="1:13" s="30" customFormat="1" ht="18.75" hidden="1">
      <c r="A42" s="41"/>
      <c r="B42" s="49"/>
      <c r="C42" s="34"/>
      <c r="D42" s="55"/>
      <c r="E42" s="35"/>
      <c r="F42" s="35"/>
      <c r="G42" s="36"/>
      <c r="H42" s="28"/>
      <c r="I42" s="38"/>
      <c r="J42" s="39"/>
      <c r="L42" s="152">
        <f>SUM(L26:L41)</f>
        <v>14283.480099999999</v>
      </c>
      <c r="M42" s="30">
        <f t="shared" si="1"/>
        <v>0</v>
      </c>
    </row>
    <row r="43" spans="1:13" s="30" customFormat="1" ht="18" customHeight="1">
      <c r="A43" s="41"/>
      <c r="B43" s="54" t="s">
        <v>56</v>
      </c>
      <c r="C43" s="190" t="s">
        <v>34</v>
      </c>
      <c r="D43" s="190"/>
      <c r="E43" s="190"/>
      <c r="F43" s="142"/>
      <c r="G43" s="51">
        <f>SUM(G26:G42)</f>
        <v>14283.48</v>
      </c>
      <c r="H43" s="28"/>
      <c r="I43" s="38"/>
      <c r="J43" s="154"/>
      <c r="L43" s="40"/>
      <c r="M43" s="30">
        <f t="shared" si="1"/>
        <v>0</v>
      </c>
    </row>
    <row r="44" spans="1:13" s="30" customFormat="1" ht="18.75">
      <c r="A44" s="23" t="s">
        <v>57</v>
      </c>
      <c r="B44" s="24" t="s">
        <v>58</v>
      </c>
      <c r="C44" s="25"/>
      <c r="D44" s="162"/>
      <c r="E44" s="26"/>
      <c r="F44" s="67"/>
      <c r="G44" s="36"/>
      <c r="H44" s="28"/>
      <c r="I44" s="38"/>
      <c r="J44" s="154"/>
      <c r="L44" s="40"/>
      <c r="M44" s="30">
        <f t="shared" si="1"/>
        <v>0</v>
      </c>
    </row>
    <row r="45" spans="1:13" s="30" customFormat="1" ht="18.75">
      <c r="A45" s="41" t="s">
        <v>59</v>
      </c>
      <c r="B45" s="33" t="s">
        <v>60</v>
      </c>
      <c r="C45" s="34" t="s">
        <v>61</v>
      </c>
      <c r="D45" s="55">
        <v>1616.97</v>
      </c>
      <c r="E45" s="35">
        <v>13.27</v>
      </c>
      <c r="F45" s="35">
        <f>ROUND(E45*1.2288,2)</f>
        <v>16.31</v>
      </c>
      <c r="G45" s="36">
        <f>ROUND(F45*D45,2)</f>
        <v>26372.78</v>
      </c>
      <c r="H45" s="178" t="s">
        <v>527</v>
      </c>
      <c r="I45" s="179"/>
      <c r="J45" s="154">
        <f>3.03*80</f>
        <v>242.39999999999998</v>
      </c>
      <c r="L45" s="40">
        <f>D45*F45</f>
        <v>26372.7807</v>
      </c>
      <c r="M45" s="30">
        <f t="shared" si="1"/>
        <v>21457.191899999998</v>
      </c>
    </row>
    <row r="46" spans="1:13" s="30" customFormat="1" ht="78.75">
      <c r="A46" s="41"/>
      <c r="B46" s="42" t="s">
        <v>63</v>
      </c>
      <c r="C46" s="34"/>
      <c r="D46" s="55"/>
      <c r="E46" s="35"/>
      <c r="F46" s="35"/>
      <c r="G46" s="36"/>
      <c r="H46" s="178"/>
      <c r="I46" s="179"/>
      <c r="J46" s="154">
        <v>1616.97</v>
      </c>
      <c r="L46" s="40">
        <f aca="true" t="shared" si="3" ref="L46:L65">D46*F46</f>
        <v>0</v>
      </c>
      <c r="M46" s="30">
        <f t="shared" si="1"/>
        <v>0</v>
      </c>
    </row>
    <row r="47" spans="1:13" s="30" customFormat="1" ht="18.75">
      <c r="A47" s="41"/>
      <c r="B47" s="42"/>
      <c r="C47" s="34"/>
      <c r="D47" s="55"/>
      <c r="E47" s="35"/>
      <c r="F47" s="35"/>
      <c r="G47" s="36"/>
      <c r="H47" s="28"/>
      <c r="I47" s="38"/>
      <c r="J47" s="154"/>
      <c r="L47" s="40">
        <f t="shared" si="3"/>
        <v>0</v>
      </c>
      <c r="M47" s="30">
        <f t="shared" si="1"/>
        <v>0</v>
      </c>
    </row>
    <row r="48" spans="1:13" s="30" customFormat="1" ht="54" customHeight="1">
      <c r="A48" s="41" t="s">
        <v>64</v>
      </c>
      <c r="B48" s="49" t="s">
        <v>65</v>
      </c>
      <c r="C48" s="34" t="s">
        <v>25</v>
      </c>
      <c r="D48" s="163">
        <f>55.4+127.22+81.59+55.12</f>
        <v>319.33000000000004</v>
      </c>
      <c r="E48" s="35">
        <v>47.03</v>
      </c>
      <c r="F48" s="35">
        <f>ROUND(E48*1.2288,2)</f>
        <v>57.79</v>
      </c>
      <c r="G48" s="36">
        <f>ROUND(F48*D48,2)</f>
        <v>18454.08</v>
      </c>
      <c r="H48" s="178" t="s">
        <v>526</v>
      </c>
      <c r="I48" s="179"/>
      <c r="J48" s="154">
        <f>34.68-3.03+4.4</f>
        <v>36.05</v>
      </c>
      <c r="L48" s="40">
        <f t="shared" si="3"/>
        <v>18454.080700000002</v>
      </c>
      <c r="M48" s="30">
        <f t="shared" si="1"/>
        <v>15018.089900000003</v>
      </c>
    </row>
    <row r="49" spans="1:13" s="30" customFormat="1" ht="64.5" customHeight="1">
      <c r="A49" s="41"/>
      <c r="B49" s="42" t="s">
        <v>66</v>
      </c>
      <c r="C49" s="34"/>
      <c r="D49" s="55"/>
      <c r="E49" s="35"/>
      <c r="F49" s="35"/>
      <c r="G49" s="36"/>
      <c r="H49" s="178"/>
      <c r="I49" s="179"/>
      <c r="J49" s="160"/>
      <c r="L49" s="40">
        <f t="shared" si="3"/>
        <v>0</v>
      </c>
      <c r="M49" s="30">
        <f t="shared" si="1"/>
        <v>0</v>
      </c>
    </row>
    <row r="50" spans="1:13" s="30" customFormat="1" ht="18.75">
      <c r="A50" s="41"/>
      <c r="B50" s="42"/>
      <c r="C50" s="34"/>
      <c r="D50" s="55"/>
      <c r="E50" s="35"/>
      <c r="F50" s="35"/>
      <c r="G50" s="36"/>
      <c r="H50" s="28"/>
      <c r="I50" s="38"/>
      <c r="J50" s="154"/>
      <c r="L50" s="40">
        <f t="shared" si="3"/>
        <v>0</v>
      </c>
      <c r="M50" s="30">
        <f t="shared" si="1"/>
        <v>0</v>
      </c>
    </row>
    <row r="51" spans="1:13" s="30" customFormat="1" ht="61.5" customHeight="1">
      <c r="A51" s="41" t="s">
        <v>67</v>
      </c>
      <c r="B51" s="49" t="s">
        <v>68</v>
      </c>
      <c r="C51" s="34" t="s">
        <v>39</v>
      </c>
      <c r="D51" s="55">
        <v>0.42</v>
      </c>
      <c r="E51" s="35">
        <v>1709</v>
      </c>
      <c r="F51" s="35">
        <f>ROUND(E51*1.2288,2)</f>
        <v>2100.02</v>
      </c>
      <c r="G51" s="36">
        <f>ROUND(F51*D51,2)</f>
        <v>882.01</v>
      </c>
      <c r="H51" s="28" t="s">
        <v>69</v>
      </c>
      <c r="I51" s="38" t="s">
        <v>70</v>
      </c>
      <c r="J51" s="154"/>
      <c r="L51" s="40">
        <f t="shared" si="3"/>
        <v>882.0083999999999</v>
      </c>
      <c r="M51" s="30">
        <f t="shared" si="1"/>
        <v>717.78</v>
      </c>
    </row>
    <row r="52" spans="1:13" s="30" customFormat="1" ht="174.75" customHeight="1">
      <c r="A52" s="41"/>
      <c r="B52" s="42" t="s">
        <v>71</v>
      </c>
      <c r="C52" s="34"/>
      <c r="D52" s="55"/>
      <c r="E52" s="35"/>
      <c r="F52" s="77"/>
      <c r="G52" s="57"/>
      <c r="H52" s="28"/>
      <c r="I52" s="38"/>
      <c r="J52" s="154"/>
      <c r="L52" s="40">
        <f t="shared" si="3"/>
        <v>0</v>
      </c>
      <c r="M52" s="30">
        <f t="shared" si="1"/>
        <v>0</v>
      </c>
    </row>
    <row r="53" spans="1:13" s="30" customFormat="1" ht="18.75">
      <c r="A53" s="41"/>
      <c r="B53" s="58"/>
      <c r="C53" s="34"/>
      <c r="D53" s="55"/>
      <c r="E53" s="35"/>
      <c r="F53" s="77"/>
      <c r="G53" s="57"/>
      <c r="H53" s="28"/>
      <c r="I53" s="38"/>
      <c r="J53" s="154"/>
      <c r="L53" s="40">
        <f t="shared" si="3"/>
        <v>0</v>
      </c>
      <c r="M53" s="30">
        <f t="shared" si="1"/>
        <v>0</v>
      </c>
    </row>
    <row r="54" spans="1:13" s="30" customFormat="1" ht="126" customHeight="1">
      <c r="A54" s="41" t="s">
        <v>72</v>
      </c>
      <c r="B54" s="49" t="s">
        <v>73</v>
      </c>
      <c r="C54" s="34" t="s">
        <v>74</v>
      </c>
      <c r="D54" s="170">
        <v>36.08</v>
      </c>
      <c r="E54" s="35">
        <v>403.86</v>
      </c>
      <c r="F54" s="35">
        <f>ROUND(E54*1.2288,2)</f>
        <v>496.26</v>
      </c>
      <c r="G54" s="36">
        <f>ROUND(F54*D54,2)</f>
        <v>17905.06</v>
      </c>
      <c r="H54" s="175" t="s">
        <v>518</v>
      </c>
      <c r="I54" s="191"/>
      <c r="J54" s="154"/>
      <c r="L54" s="40">
        <f t="shared" si="3"/>
        <v>17905.0608</v>
      </c>
      <c r="M54" s="30">
        <f t="shared" si="1"/>
        <v>14571.2688</v>
      </c>
    </row>
    <row r="55" spans="1:13" s="30" customFormat="1" ht="78" customHeight="1">
      <c r="A55" s="41"/>
      <c r="B55" s="42" t="s">
        <v>75</v>
      </c>
      <c r="C55" s="34"/>
      <c r="D55" s="55"/>
      <c r="E55" s="35"/>
      <c r="F55" s="35"/>
      <c r="G55" s="36"/>
      <c r="H55" s="28"/>
      <c r="I55" s="38"/>
      <c r="J55" s="154"/>
      <c r="L55" s="40">
        <f t="shared" si="3"/>
        <v>0</v>
      </c>
      <c r="M55" s="30">
        <f t="shared" si="1"/>
        <v>0</v>
      </c>
    </row>
    <row r="56" spans="1:13" s="30" customFormat="1" ht="18.75">
      <c r="A56" s="41"/>
      <c r="B56" s="42"/>
      <c r="C56" s="34"/>
      <c r="D56" s="55"/>
      <c r="E56" s="35"/>
      <c r="F56" s="35"/>
      <c r="G56" s="36"/>
      <c r="H56" s="28"/>
      <c r="I56" s="38"/>
      <c r="J56" s="39"/>
      <c r="L56" s="40">
        <f t="shared" si="3"/>
        <v>0</v>
      </c>
      <c r="M56" s="30">
        <f t="shared" si="1"/>
        <v>0</v>
      </c>
    </row>
    <row r="57" spans="1:13" s="30" customFormat="1" ht="111" customHeight="1">
      <c r="A57" s="41" t="s">
        <v>76</v>
      </c>
      <c r="B57" s="49" t="s">
        <v>77</v>
      </c>
      <c r="C57" s="34" t="s">
        <v>25</v>
      </c>
      <c r="D57" s="55">
        <v>70.35</v>
      </c>
      <c r="E57" s="35">
        <v>44.98</v>
      </c>
      <c r="F57" s="35">
        <f>ROUND(E57*1.2288,2)</f>
        <v>55.27</v>
      </c>
      <c r="G57" s="36">
        <f>ROUND(F57*D57,2)</f>
        <v>3888.24</v>
      </c>
      <c r="H57" s="158" t="s">
        <v>515</v>
      </c>
      <c r="I57" s="38" t="s">
        <v>62</v>
      </c>
      <c r="J57" s="154"/>
      <c r="L57" s="40">
        <f t="shared" si="3"/>
        <v>3888.2445</v>
      </c>
      <c r="M57" s="30">
        <f t="shared" si="1"/>
        <v>3164.3429999999994</v>
      </c>
    </row>
    <row r="58" spans="1:13" s="30" customFormat="1" ht="47.25">
      <c r="A58" s="41"/>
      <c r="B58" s="42" t="s">
        <v>78</v>
      </c>
      <c r="C58" s="34"/>
      <c r="D58" s="55"/>
      <c r="E58" s="35"/>
      <c r="F58" s="35"/>
      <c r="G58" s="36"/>
      <c r="H58" s="28"/>
      <c r="I58" s="38"/>
      <c r="J58" s="154"/>
      <c r="L58" s="40">
        <f t="shared" si="3"/>
        <v>0</v>
      </c>
      <c r="M58" s="30">
        <f t="shared" si="1"/>
        <v>0</v>
      </c>
    </row>
    <row r="59" spans="1:13" s="30" customFormat="1" ht="18.75">
      <c r="A59" s="41"/>
      <c r="B59" s="42"/>
      <c r="C59" s="34"/>
      <c r="D59" s="55"/>
      <c r="E59" s="35"/>
      <c r="F59" s="35"/>
      <c r="G59" s="36"/>
      <c r="H59" s="28"/>
      <c r="I59" s="38"/>
      <c r="J59" s="154"/>
      <c r="L59" s="40">
        <f t="shared" si="3"/>
        <v>0</v>
      </c>
      <c r="M59" s="30">
        <f t="shared" si="1"/>
        <v>0</v>
      </c>
    </row>
    <row r="60" spans="1:13" s="30" customFormat="1" ht="18.75">
      <c r="A60" s="41"/>
      <c r="B60" s="46"/>
      <c r="C60" s="59"/>
      <c r="D60" s="164"/>
      <c r="E60" s="35"/>
      <c r="F60" s="77"/>
      <c r="G60" s="57"/>
      <c r="H60" s="37"/>
      <c r="I60" s="38"/>
      <c r="J60" s="154"/>
      <c r="L60" s="40">
        <f t="shared" si="3"/>
        <v>0</v>
      </c>
      <c r="M60" s="30">
        <f t="shared" si="1"/>
        <v>0</v>
      </c>
    </row>
    <row r="61" spans="1:13" s="30" customFormat="1" ht="18.75">
      <c r="A61" s="41" t="s">
        <v>79</v>
      </c>
      <c r="B61" s="60" t="s">
        <v>80</v>
      </c>
      <c r="C61" s="61"/>
      <c r="D61" s="55"/>
      <c r="E61" s="35"/>
      <c r="F61" s="35"/>
      <c r="G61" s="36"/>
      <c r="H61" s="37"/>
      <c r="I61" s="38"/>
      <c r="J61" s="154"/>
      <c r="L61" s="40">
        <f t="shared" si="3"/>
        <v>0</v>
      </c>
      <c r="M61" s="30">
        <f t="shared" si="1"/>
        <v>0</v>
      </c>
    </row>
    <row r="62" spans="1:13" s="30" customFormat="1" ht="39" customHeight="1">
      <c r="A62" s="41" t="s">
        <v>81</v>
      </c>
      <c r="B62" s="49" t="s">
        <v>82</v>
      </c>
      <c r="C62" s="61" t="s">
        <v>20</v>
      </c>
      <c r="D62" s="55"/>
      <c r="E62" s="35">
        <v>700</v>
      </c>
      <c r="F62" s="35">
        <f>ROUND(E62*1.2288,2)</f>
        <v>860.16</v>
      </c>
      <c r="G62" s="36">
        <f>ROUND(F62*D62,2)</f>
        <v>0</v>
      </c>
      <c r="H62" s="53"/>
      <c r="I62" s="38"/>
      <c r="J62" s="154"/>
      <c r="L62" s="40">
        <f t="shared" si="3"/>
        <v>0</v>
      </c>
      <c r="M62" s="30">
        <f t="shared" si="1"/>
        <v>0</v>
      </c>
    </row>
    <row r="63" spans="1:13" s="30" customFormat="1" ht="63">
      <c r="A63" s="41"/>
      <c r="B63" s="42" t="s">
        <v>83</v>
      </c>
      <c r="C63" s="61"/>
      <c r="D63" s="55"/>
      <c r="E63" s="35"/>
      <c r="F63" s="35"/>
      <c r="G63" s="36"/>
      <c r="H63" s="37"/>
      <c r="I63" s="38"/>
      <c r="J63" s="154"/>
      <c r="L63" s="40">
        <f t="shared" si="3"/>
        <v>0</v>
      </c>
      <c r="M63" s="30">
        <f t="shared" si="1"/>
        <v>0</v>
      </c>
    </row>
    <row r="64" spans="1:13" s="30" customFormat="1" ht="18.75">
      <c r="A64" s="41"/>
      <c r="B64" s="42"/>
      <c r="C64" s="61"/>
      <c r="D64" s="55"/>
      <c r="E64" s="35"/>
      <c r="F64" s="35"/>
      <c r="G64" s="36"/>
      <c r="H64" s="37"/>
      <c r="I64" s="38"/>
      <c r="J64" s="154"/>
      <c r="L64" s="40">
        <f t="shared" si="3"/>
        <v>0</v>
      </c>
      <c r="M64" s="30">
        <f t="shared" si="1"/>
        <v>0</v>
      </c>
    </row>
    <row r="65" spans="1:13" s="30" customFormat="1" ht="18.75">
      <c r="A65" s="41" t="s">
        <v>84</v>
      </c>
      <c r="B65" s="49" t="s">
        <v>85</v>
      </c>
      <c r="C65" s="61" t="s">
        <v>86</v>
      </c>
      <c r="D65" s="55"/>
      <c r="E65" s="35">
        <v>75.62</v>
      </c>
      <c r="F65" s="35">
        <f>ROUND(E65*1.2288,2)</f>
        <v>92.92</v>
      </c>
      <c r="G65" s="36">
        <f>ROUND(F65*D65,2)</f>
        <v>0</v>
      </c>
      <c r="H65" s="37"/>
      <c r="I65" s="38"/>
      <c r="J65" s="154"/>
      <c r="L65" s="40">
        <f t="shared" si="3"/>
        <v>0</v>
      </c>
      <c r="M65" s="30">
        <f t="shared" si="1"/>
        <v>0</v>
      </c>
    </row>
    <row r="66" spans="1:13" s="30" customFormat="1" ht="63">
      <c r="A66" s="41"/>
      <c r="B66" s="42" t="s">
        <v>87</v>
      </c>
      <c r="C66" s="61"/>
      <c r="D66" s="55"/>
      <c r="E66" s="35"/>
      <c r="F66" s="35"/>
      <c r="G66" s="36"/>
      <c r="H66" s="37"/>
      <c r="I66" s="38"/>
      <c r="J66" s="154"/>
      <c r="L66" s="40"/>
      <c r="M66" s="30">
        <f t="shared" si="1"/>
        <v>0</v>
      </c>
    </row>
    <row r="67" spans="1:12" s="30" customFormat="1" ht="18.75">
      <c r="A67" s="41"/>
      <c r="B67" s="157"/>
      <c r="C67" s="156"/>
      <c r="D67" s="165"/>
      <c r="E67" s="35"/>
      <c r="F67" s="35"/>
      <c r="G67" s="36"/>
      <c r="H67" s="37"/>
      <c r="I67" s="38"/>
      <c r="J67" s="154"/>
      <c r="L67" s="40"/>
    </row>
    <row r="68" spans="1:12" s="30" customFormat="1" ht="47.25">
      <c r="A68" s="41" t="s">
        <v>521</v>
      </c>
      <c r="B68" s="159" t="s">
        <v>523</v>
      </c>
      <c r="C68" s="156" t="s">
        <v>15</v>
      </c>
      <c r="D68" s="165">
        <f>39*0.6</f>
        <v>23.4</v>
      </c>
      <c r="E68" s="35">
        <v>100.12</v>
      </c>
      <c r="F68" s="35">
        <f>ROUND(E68*1.2288,2)</f>
        <v>123.03</v>
      </c>
      <c r="G68" s="36">
        <f>ROUND(F68*D68,2)</f>
        <v>2878.9</v>
      </c>
      <c r="H68" s="37" t="s">
        <v>524</v>
      </c>
      <c r="I68" s="38"/>
      <c r="J68" s="154"/>
      <c r="L68" s="40"/>
    </row>
    <row r="69" spans="1:12" s="30" customFormat="1" ht="47.25" customHeight="1">
      <c r="A69" s="176" t="s">
        <v>522</v>
      </c>
      <c r="B69" s="157"/>
      <c r="C69" s="156"/>
      <c r="D69" s="165"/>
      <c r="E69" s="35"/>
      <c r="F69" s="35"/>
      <c r="G69" s="36"/>
      <c r="H69" s="37"/>
      <c r="I69" s="38"/>
      <c r="J69" s="154"/>
      <c r="L69" s="40"/>
    </row>
    <row r="70" spans="1:13" s="30" customFormat="1" ht="30" customHeight="1">
      <c r="A70" s="177"/>
      <c r="B70" s="63"/>
      <c r="C70" s="190" t="s">
        <v>34</v>
      </c>
      <c r="D70" s="190"/>
      <c r="E70" s="190"/>
      <c r="F70" s="142"/>
      <c r="G70" s="51">
        <f>SUM(G45:G69)</f>
        <v>70381.07</v>
      </c>
      <c r="H70" s="28"/>
      <c r="I70" s="38"/>
      <c r="J70" s="154"/>
      <c r="L70" s="152">
        <f>SUM(K45:L66)</f>
        <v>67502.1751</v>
      </c>
      <c r="M70" s="30">
        <f t="shared" si="1"/>
        <v>0</v>
      </c>
    </row>
    <row r="71" spans="1:13" s="30" customFormat="1" ht="18.75">
      <c r="A71" s="23" t="s">
        <v>88</v>
      </c>
      <c r="B71" s="24" t="s">
        <v>89</v>
      </c>
      <c r="C71" s="25"/>
      <c r="D71" s="162"/>
      <c r="E71" s="35"/>
      <c r="F71" s="35"/>
      <c r="G71" s="36"/>
      <c r="H71" s="28"/>
      <c r="I71" s="38"/>
      <c r="J71" s="154"/>
      <c r="L71" s="40"/>
      <c r="M71" s="30">
        <f t="shared" si="1"/>
        <v>0</v>
      </c>
    </row>
    <row r="72" spans="1:13" s="30" customFormat="1" ht="18.75">
      <c r="A72" s="41"/>
      <c r="B72" s="42"/>
      <c r="C72" s="34"/>
      <c r="D72" s="55"/>
      <c r="E72" s="35"/>
      <c r="F72" s="35"/>
      <c r="G72" s="36"/>
      <c r="H72" s="28"/>
      <c r="I72" s="38"/>
      <c r="J72" s="154"/>
      <c r="L72" s="40"/>
      <c r="M72" s="30">
        <f t="shared" si="1"/>
        <v>0</v>
      </c>
    </row>
    <row r="73" spans="1:13" s="30" customFormat="1" ht="100.5" customHeight="1">
      <c r="A73" s="41" t="s">
        <v>90</v>
      </c>
      <c r="B73" s="49" t="s">
        <v>91</v>
      </c>
      <c r="C73" s="34" t="s">
        <v>39</v>
      </c>
      <c r="D73" s="55">
        <v>3.45</v>
      </c>
      <c r="E73" s="35">
        <v>2349.32</v>
      </c>
      <c r="F73" s="35">
        <f>ROUND(E73*1.2288,2)</f>
        <v>2886.84</v>
      </c>
      <c r="G73" s="36">
        <f>ROUND(F73*D73,2)</f>
        <v>9959.6</v>
      </c>
      <c r="H73" s="192" t="s">
        <v>516</v>
      </c>
      <c r="I73" s="193"/>
      <c r="J73" s="154"/>
      <c r="L73" s="40">
        <f aca="true" t="shared" si="4" ref="L73:L78">D73*F73</f>
        <v>9959.598000000002</v>
      </c>
      <c r="M73" s="30">
        <f t="shared" si="1"/>
        <v>8105.154000000001</v>
      </c>
    </row>
    <row r="74" spans="1:13" s="30" customFormat="1" ht="189">
      <c r="A74" s="41"/>
      <c r="B74" s="42" t="s">
        <v>92</v>
      </c>
      <c r="C74" s="34"/>
      <c r="D74" s="55"/>
      <c r="E74" s="35"/>
      <c r="F74" s="35"/>
      <c r="G74" s="36"/>
      <c r="H74" s="28"/>
      <c r="I74" s="38"/>
      <c r="J74" s="154"/>
      <c r="L74" s="40">
        <f t="shared" si="4"/>
        <v>0</v>
      </c>
      <c r="M74" s="30">
        <f t="shared" si="1"/>
        <v>0</v>
      </c>
    </row>
    <row r="75" spans="1:13" s="30" customFormat="1" ht="18.75">
      <c r="A75" s="41"/>
      <c r="B75" s="49"/>
      <c r="C75" s="34"/>
      <c r="D75" s="55"/>
      <c r="E75" s="35"/>
      <c r="F75" s="35"/>
      <c r="G75" s="36"/>
      <c r="H75" s="28"/>
      <c r="I75" s="38"/>
      <c r="J75" s="154"/>
      <c r="L75" s="40">
        <f t="shared" si="4"/>
        <v>0</v>
      </c>
      <c r="M75" s="30">
        <f t="shared" si="1"/>
        <v>0</v>
      </c>
    </row>
    <row r="76" spans="1:13" s="30" customFormat="1" ht="18.75">
      <c r="A76" s="41"/>
      <c r="B76" s="42"/>
      <c r="C76" s="34"/>
      <c r="D76" s="55"/>
      <c r="E76" s="35"/>
      <c r="F76" s="35"/>
      <c r="G76" s="36"/>
      <c r="H76" s="28"/>
      <c r="I76" s="38"/>
      <c r="J76" s="154"/>
      <c r="L76" s="40">
        <f t="shared" si="4"/>
        <v>0</v>
      </c>
      <c r="M76" s="30">
        <f t="shared" si="1"/>
        <v>0</v>
      </c>
    </row>
    <row r="77" spans="1:13" s="30" customFormat="1" ht="130.5" customHeight="1">
      <c r="A77" s="41" t="s">
        <v>93</v>
      </c>
      <c r="B77" s="49" t="s">
        <v>94</v>
      </c>
      <c r="C77" s="34" t="s">
        <v>25</v>
      </c>
      <c r="D77" s="55">
        <f>3.66*2.58+17.45+5.79+16.67+25.57</f>
        <v>74.9228</v>
      </c>
      <c r="E77" s="35">
        <v>238.9</v>
      </c>
      <c r="F77" s="35">
        <f>ROUND(E77*1.2288,2)</f>
        <v>293.56</v>
      </c>
      <c r="G77" s="36">
        <f>ROUND(F77*D77,2)</f>
        <v>21994.34</v>
      </c>
      <c r="H77" s="158" t="s">
        <v>517</v>
      </c>
      <c r="I77" s="38" t="s">
        <v>95</v>
      </c>
      <c r="J77" s="154"/>
      <c r="L77" s="40">
        <f t="shared" si="4"/>
        <v>21994.337168</v>
      </c>
      <c r="M77" s="30">
        <f t="shared" si="1"/>
        <v>17899.05692</v>
      </c>
    </row>
    <row r="78" spans="1:13" s="30" customFormat="1" ht="141.75">
      <c r="A78" s="41"/>
      <c r="B78" s="42" t="s">
        <v>96</v>
      </c>
      <c r="C78" s="34"/>
      <c r="D78" s="55"/>
      <c r="E78" s="35"/>
      <c r="F78" s="35"/>
      <c r="G78" s="36"/>
      <c r="H78" s="28"/>
      <c r="I78" s="38"/>
      <c r="J78" s="154"/>
      <c r="L78" s="40">
        <f t="shared" si="4"/>
        <v>0</v>
      </c>
      <c r="M78" s="30">
        <f aca="true" t="shared" si="5" ref="M78:M141">D78*E78</f>
        <v>0</v>
      </c>
    </row>
    <row r="79" spans="1:13" s="30" customFormat="1" ht="18.75">
      <c r="A79" s="41"/>
      <c r="B79" s="42"/>
      <c r="C79" s="34"/>
      <c r="D79" s="55"/>
      <c r="E79" s="35"/>
      <c r="F79" s="35"/>
      <c r="G79" s="36"/>
      <c r="H79" s="28"/>
      <c r="I79" s="38"/>
      <c r="J79" s="154"/>
      <c r="L79" s="152">
        <f>SUM(K73:L78)</f>
        <v>31953.935168</v>
      </c>
      <c r="M79" s="30">
        <f t="shared" si="5"/>
        <v>0</v>
      </c>
    </row>
    <row r="80" spans="1:13" s="30" customFormat="1" ht="18" customHeight="1">
      <c r="A80" s="62"/>
      <c r="B80" s="64"/>
      <c r="C80" s="190" t="s">
        <v>34</v>
      </c>
      <c r="D80" s="190"/>
      <c r="E80" s="190"/>
      <c r="F80" s="142"/>
      <c r="G80" s="51">
        <f>SUM(G72:G79)</f>
        <v>31953.940000000002</v>
      </c>
      <c r="H80" s="28"/>
      <c r="I80" s="38"/>
      <c r="J80" s="154"/>
      <c r="L80" s="40"/>
      <c r="M80" s="30">
        <f t="shared" si="5"/>
        <v>0</v>
      </c>
    </row>
    <row r="81" spans="1:13" s="30" customFormat="1" ht="18.75">
      <c r="A81" s="23" t="s">
        <v>97</v>
      </c>
      <c r="B81" s="24" t="s">
        <v>98</v>
      </c>
      <c r="C81" s="65"/>
      <c r="D81" s="162"/>
      <c r="E81" s="26"/>
      <c r="F81" s="67"/>
      <c r="G81" s="36"/>
      <c r="H81" s="28"/>
      <c r="I81" s="38"/>
      <c r="J81" s="154"/>
      <c r="L81" s="40"/>
      <c r="M81" s="30">
        <f t="shared" si="5"/>
        <v>0</v>
      </c>
    </row>
    <row r="82" spans="1:13" s="30" customFormat="1" ht="18.75">
      <c r="A82" s="32" t="s">
        <v>99</v>
      </c>
      <c r="B82" s="66" t="s">
        <v>100</v>
      </c>
      <c r="C82" s="34"/>
      <c r="D82" s="55"/>
      <c r="E82" s="67"/>
      <c r="F82" s="67"/>
      <c r="G82" s="36"/>
      <c r="H82" s="28"/>
      <c r="I82" s="38"/>
      <c r="J82" s="154"/>
      <c r="L82" s="40"/>
      <c r="M82" s="30">
        <f t="shared" si="5"/>
        <v>0</v>
      </c>
    </row>
    <row r="83" spans="1:13" s="30" customFormat="1" ht="18.75">
      <c r="A83" s="41"/>
      <c r="B83" s="42"/>
      <c r="C83" s="34"/>
      <c r="D83" s="55"/>
      <c r="E83" s="35"/>
      <c r="F83" s="35"/>
      <c r="G83" s="36"/>
      <c r="H83" s="28"/>
      <c r="I83" s="38"/>
      <c r="J83" s="154"/>
      <c r="L83" s="40"/>
      <c r="M83" s="30">
        <f t="shared" si="5"/>
        <v>0</v>
      </c>
    </row>
    <row r="84" spans="1:13" s="30" customFormat="1" ht="249.75" customHeight="1">
      <c r="A84" s="41" t="s">
        <v>101</v>
      </c>
      <c r="B84" s="49" t="s">
        <v>102</v>
      </c>
      <c r="C84" s="34" t="s">
        <v>25</v>
      </c>
      <c r="D84" s="166">
        <v>291.46</v>
      </c>
      <c r="E84" s="35">
        <v>44.47</v>
      </c>
      <c r="F84" s="35">
        <f>ROUND(E84*1.2288,2)</f>
        <v>54.64</v>
      </c>
      <c r="G84" s="36">
        <f>ROUND(F84*D84,2)</f>
        <v>15925.37</v>
      </c>
      <c r="H84" s="28" t="s">
        <v>525</v>
      </c>
      <c r="I84" s="38" t="s">
        <v>103</v>
      </c>
      <c r="J84" s="154"/>
      <c r="L84" s="40"/>
      <c r="M84" s="30">
        <f t="shared" si="5"/>
        <v>12961.2262</v>
      </c>
    </row>
    <row r="85" spans="1:13" s="68" customFormat="1" ht="94.5" customHeight="1">
      <c r="A85" s="41"/>
      <c r="B85" s="42" t="s">
        <v>104</v>
      </c>
      <c r="C85" s="34"/>
      <c r="D85" s="55"/>
      <c r="E85" s="35"/>
      <c r="F85" s="35"/>
      <c r="G85" s="36"/>
      <c r="H85" s="28"/>
      <c r="I85" s="38"/>
      <c r="J85" s="154"/>
      <c r="L85" s="40"/>
      <c r="M85" s="30">
        <f t="shared" si="5"/>
        <v>0</v>
      </c>
    </row>
    <row r="86" spans="1:13" s="68" customFormat="1" ht="18.75">
      <c r="A86" s="41"/>
      <c r="B86" s="42"/>
      <c r="C86" s="34"/>
      <c r="D86" s="55"/>
      <c r="E86" s="35"/>
      <c r="F86" s="35"/>
      <c r="G86" s="36"/>
      <c r="H86" s="28"/>
      <c r="I86" s="38"/>
      <c r="J86" s="154"/>
      <c r="L86" s="40"/>
      <c r="M86" s="30">
        <f t="shared" si="5"/>
        <v>0</v>
      </c>
    </row>
    <row r="87" spans="1:13" s="30" customFormat="1" ht="18" customHeight="1">
      <c r="A87" s="69"/>
      <c r="B87" s="64"/>
      <c r="C87" s="190" t="s">
        <v>34</v>
      </c>
      <c r="D87" s="190"/>
      <c r="E87" s="190"/>
      <c r="F87" s="142"/>
      <c r="G87" s="51">
        <f>SUM(G83:G86)</f>
        <v>15925.37</v>
      </c>
      <c r="H87" s="28"/>
      <c r="I87" s="38"/>
      <c r="J87" s="154"/>
      <c r="L87" s="152">
        <f>D84*F84</f>
        <v>15925.374399999999</v>
      </c>
      <c r="M87" s="30">
        <f t="shared" si="5"/>
        <v>0</v>
      </c>
    </row>
    <row r="88" spans="1:13" s="30" customFormat="1" ht="18.75">
      <c r="A88" s="23" t="s">
        <v>105</v>
      </c>
      <c r="B88" s="24" t="s">
        <v>106</v>
      </c>
      <c r="C88" s="25"/>
      <c r="D88" s="162"/>
      <c r="E88" s="35"/>
      <c r="F88" s="35"/>
      <c r="G88" s="36"/>
      <c r="H88" s="28"/>
      <c r="I88" s="38"/>
      <c r="J88" s="39"/>
      <c r="L88" s="40"/>
      <c r="M88" s="30">
        <f t="shared" si="5"/>
        <v>0</v>
      </c>
    </row>
    <row r="89" spans="1:13" s="30" customFormat="1" ht="18.75">
      <c r="A89" s="32" t="s">
        <v>107</v>
      </c>
      <c r="B89" s="66" t="s">
        <v>108</v>
      </c>
      <c r="C89" s="61"/>
      <c r="D89" s="55"/>
      <c r="E89" s="35"/>
      <c r="F89" s="35"/>
      <c r="G89" s="36"/>
      <c r="H89" s="28"/>
      <c r="I89" s="38"/>
      <c r="J89" s="39"/>
      <c r="L89" s="40"/>
      <c r="M89" s="30">
        <f t="shared" si="5"/>
        <v>0</v>
      </c>
    </row>
    <row r="90" spans="1:13" s="30" customFormat="1" ht="18.75">
      <c r="A90" s="41" t="s">
        <v>109</v>
      </c>
      <c r="B90" s="60" t="s">
        <v>110</v>
      </c>
      <c r="C90" s="34"/>
      <c r="D90" s="55"/>
      <c r="E90" s="35"/>
      <c r="F90" s="35"/>
      <c r="G90" s="36"/>
      <c r="H90" s="28"/>
      <c r="I90" s="38"/>
      <c r="J90" s="39"/>
      <c r="L90" s="40"/>
      <c r="M90" s="30">
        <f t="shared" si="5"/>
        <v>0</v>
      </c>
    </row>
    <row r="91" spans="1:13" s="30" customFormat="1" ht="67.5" customHeight="1">
      <c r="A91" s="41"/>
      <c r="B91" s="42" t="s">
        <v>111</v>
      </c>
      <c r="C91" s="34"/>
      <c r="D91" s="55"/>
      <c r="E91" s="35"/>
      <c r="F91" s="35"/>
      <c r="G91" s="36"/>
      <c r="H91" s="28"/>
      <c r="I91" s="38"/>
      <c r="J91" s="39"/>
      <c r="L91" s="40"/>
      <c r="M91" s="30">
        <f t="shared" si="5"/>
        <v>0</v>
      </c>
    </row>
    <row r="92" spans="1:13" s="30" customFormat="1" ht="18.75">
      <c r="A92" s="41"/>
      <c r="B92" s="42"/>
      <c r="C92" s="34"/>
      <c r="D92" s="55"/>
      <c r="E92" s="35"/>
      <c r="F92" s="35"/>
      <c r="G92" s="36"/>
      <c r="H92" s="28"/>
      <c r="I92" s="38"/>
      <c r="J92" s="39"/>
      <c r="L92" s="40"/>
      <c r="M92" s="30">
        <f t="shared" si="5"/>
        <v>0</v>
      </c>
    </row>
    <row r="93" spans="1:13" s="30" customFormat="1" ht="18.75" hidden="1">
      <c r="A93" s="41"/>
      <c r="B93" s="42"/>
      <c r="C93" s="34"/>
      <c r="D93" s="55"/>
      <c r="E93" s="35"/>
      <c r="F93" s="35"/>
      <c r="G93" s="36"/>
      <c r="H93" s="28"/>
      <c r="I93" s="38"/>
      <c r="J93" s="39"/>
      <c r="L93" s="40"/>
      <c r="M93" s="30">
        <f t="shared" si="5"/>
        <v>0</v>
      </c>
    </row>
    <row r="94" spans="1:13" s="30" customFormat="1" ht="31.5">
      <c r="A94" s="41" t="s">
        <v>112</v>
      </c>
      <c r="B94" s="49" t="s">
        <v>113</v>
      </c>
      <c r="C94" s="34" t="s">
        <v>86</v>
      </c>
      <c r="D94" s="55">
        <f>28*2</f>
        <v>56</v>
      </c>
      <c r="E94" s="35">
        <v>69.65</v>
      </c>
      <c r="F94" s="35">
        <f>ROUND(E94*1.2288,2)</f>
        <v>85.59</v>
      </c>
      <c r="G94" s="36">
        <f>ROUND(F94*D94,2)</f>
        <v>4793.04</v>
      </c>
      <c r="H94" s="53" t="s">
        <v>114</v>
      </c>
      <c r="I94" s="38" t="s">
        <v>115</v>
      </c>
      <c r="J94" s="39"/>
      <c r="L94" s="40">
        <f>D94*F94</f>
        <v>4793.04</v>
      </c>
      <c r="M94" s="30">
        <f t="shared" si="5"/>
        <v>3900.4000000000005</v>
      </c>
    </row>
    <row r="95" spans="1:13" s="30" customFormat="1" ht="17.25" customHeight="1">
      <c r="A95" s="41"/>
      <c r="B95" s="49"/>
      <c r="C95" s="34"/>
      <c r="D95" s="55"/>
      <c r="E95" s="35"/>
      <c r="F95" s="35"/>
      <c r="G95" s="36"/>
      <c r="H95" s="28"/>
      <c r="I95" s="38"/>
      <c r="J95" s="39"/>
      <c r="L95" s="40">
        <f aca="true" t="shared" si="6" ref="L95:L100">D95*F95</f>
        <v>0</v>
      </c>
      <c r="M95" s="30">
        <f t="shared" si="5"/>
        <v>0</v>
      </c>
    </row>
    <row r="96" spans="1:13" s="30" customFormat="1" ht="18.75">
      <c r="A96" s="41" t="s">
        <v>116</v>
      </c>
      <c r="B96" s="60" t="s">
        <v>117</v>
      </c>
      <c r="C96" s="34"/>
      <c r="D96" s="55"/>
      <c r="E96" s="35"/>
      <c r="F96" s="35"/>
      <c r="G96" s="36"/>
      <c r="H96" s="28"/>
      <c r="I96" s="38"/>
      <c r="J96" s="39"/>
      <c r="L96" s="40">
        <f t="shared" si="6"/>
        <v>0</v>
      </c>
      <c r="M96" s="30">
        <f t="shared" si="5"/>
        <v>0</v>
      </c>
    </row>
    <row r="97" spans="1:13" s="30" customFormat="1" ht="84.75" customHeight="1">
      <c r="A97" s="41"/>
      <c r="B97" s="42" t="s">
        <v>118</v>
      </c>
      <c r="C97" s="34"/>
      <c r="D97" s="55"/>
      <c r="E97" s="35"/>
      <c r="F97" s="35"/>
      <c r="G97" s="36"/>
      <c r="H97" s="28"/>
      <c r="I97" s="38"/>
      <c r="J97" s="39"/>
      <c r="L97" s="40">
        <f t="shared" si="6"/>
        <v>0</v>
      </c>
      <c r="M97" s="30">
        <f t="shared" si="5"/>
        <v>0</v>
      </c>
    </row>
    <row r="98" spans="1:13" s="30" customFormat="1" ht="18.75">
      <c r="A98" s="41"/>
      <c r="B98" s="42"/>
      <c r="C98" s="34"/>
      <c r="D98" s="55"/>
      <c r="E98" s="35"/>
      <c r="F98" s="35"/>
      <c r="G98" s="36"/>
      <c r="H98" s="28"/>
      <c r="I98" s="38"/>
      <c r="J98" s="39"/>
      <c r="L98" s="40">
        <f t="shared" si="6"/>
        <v>0</v>
      </c>
      <c r="M98" s="30">
        <f t="shared" si="5"/>
        <v>0</v>
      </c>
    </row>
    <row r="99" spans="1:13" s="30" customFormat="1" ht="18.75" hidden="1">
      <c r="A99" s="41"/>
      <c r="B99" s="42"/>
      <c r="C99" s="34"/>
      <c r="D99" s="55"/>
      <c r="E99" s="35"/>
      <c r="F99" s="35"/>
      <c r="G99" s="36"/>
      <c r="H99" s="28"/>
      <c r="I99" s="38"/>
      <c r="J99" s="39"/>
      <c r="L99" s="40">
        <f t="shared" si="6"/>
        <v>0</v>
      </c>
      <c r="M99" s="30">
        <f t="shared" si="5"/>
        <v>0</v>
      </c>
    </row>
    <row r="100" spans="1:13" s="30" customFormat="1" ht="31.5">
      <c r="A100" s="41" t="s">
        <v>119</v>
      </c>
      <c r="B100" s="49" t="s">
        <v>120</v>
      </c>
      <c r="C100" s="34" t="s">
        <v>86</v>
      </c>
      <c r="D100" s="55">
        <v>48</v>
      </c>
      <c r="E100" s="35">
        <v>88.09</v>
      </c>
      <c r="F100" s="35">
        <f>ROUND(E100*1.2288,2)</f>
        <v>108.24</v>
      </c>
      <c r="G100" s="36">
        <f>ROUND(F100*D100,2)</f>
        <v>5195.52</v>
      </c>
      <c r="H100" s="28" t="s">
        <v>121</v>
      </c>
      <c r="I100" s="38" t="s">
        <v>122</v>
      </c>
      <c r="J100" s="39"/>
      <c r="L100" s="40">
        <f t="shared" si="6"/>
        <v>5195.5199999999995</v>
      </c>
      <c r="M100" s="30">
        <f t="shared" si="5"/>
        <v>4228.32</v>
      </c>
    </row>
    <row r="101" spans="1:13" s="68" customFormat="1" ht="18.75">
      <c r="A101" s="41"/>
      <c r="B101" s="42"/>
      <c r="C101" s="34"/>
      <c r="D101" s="55"/>
      <c r="E101" s="35"/>
      <c r="F101" s="35"/>
      <c r="G101" s="36"/>
      <c r="H101" s="28"/>
      <c r="I101" s="38"/>
      <c r="J101" s="39"/>
      <c r="L101" s="40"/>
      <c r="M101" s="30">
        <f t="shared" si="5"/>
        <v>0</v>
      </c>
    </row>
    <row r="102" spans="1:13" s="30" customFormat="1" ht="18" customHeight="1">
      <c r="A102" s="69"/>
      <c r="B102" s="64"/>
      <c r="C102" s="190" t="s">
        <v>34</v>
      </c>
      <c r="D102" s="190"/>
      <c r="E102" s="190"/>
      <c r="F102" s="142"/>
      <c r="G102" s="51">
        <f>SUM(G90:G101)</f>
        <v>9988.560000000001</v>
      </c>
      <c r="H102" s="28"/>
      <c r="I102" s="38"/>
      <c r="J102" s="39"/>
      <c r="L102" s="152">
        <f>SUM(K94:L100)</f>
        <v>9988.56</v>
      </c>
      <c r="M102" s="30">
        <f t="shared" si="5"/>
        <v>0</v>
      </c>
    </row>
    <row r="103" spans="1:13" s="30" customFormat="1" ht="18" customHeight="1">
      <c r="A103" s="23" t="s">
        <v>123</v>
      </c>
      <c r="B103" s="24" t="s">
        <v>124</v>
      </c>
      <c r="C103" s="25"/>
      <c r="D103" s="55"/>
      <c r="E103" s="35"/>
      <c r="F103" s="35"/>
      <c r="G103" s="36"/>
      <c r="H103" s="28"/>
      <c r="I103" s="38"/>
      <c r="J103" s="39"/>
      <c r="L103" s="40"/>
      <c r="M103" s="30">
        <f t="shared" si="5"/>
        <v>0</v>
      </c>
    </row>
    <row r="104" spans="1:13" s="30" customFormat="1" ht="18.75">
      <c r="A104" s="32" t="s">
        <v>125</v>
      </c>
      <c r="B104" s="66" t="s">
        <v>126</v>
      </c>
      <c r="C104" s="61"/>
      <c r="D104" s="55"/>
      <c r="E104" s="35"/>
      <c r="F104" s="35"/>
      <c r="G104" s="36"/>
      <c r="H104" s="28"/>
      <c r="I104" s="38"/>
      <c r="J104" s="39"/>
      <c r="L104" s="40"/>
      <c r="M104" s="30">
        <f t="shared" si="5"/>
        <v>0</v>
      </c>
    </row>
    <row r="105" spans="1:13" s="30" customFormat="1" ht="31.5">
      <c r="A105" s="41" t="s">
        <v>127</v>
      </c>
      <c r="B105" s="49" t="s">
        <v>128</v>
      </c>
      <c r="C105" s="34" t="s">
        <v>20</v>
      </c>
      <c r="D105" s="55">
        <v>1</v>
      </c>
      <c r="E105" s="35">
        <v>35.21</v>
      </c>
      <c r="F105" s="35">
        <f>ROUND(E105*1.2288,2)</f>
        <v>43.27</v>
      </c>
      <c r="G105" s="36">
        <f>ROUND(F105*D105,2)</f>
        <v>43.27</v>
      </c>
      <c r="H105" s="28">
        <v>1</v>
      </c>
      <c r="I105" s="38" t="s">
        <v>48</v>
      </c>
      <c r="J105" s="39"/>
      <c r="L105" s="40">
        <f aca="true" t="shared" si="7" ref="L105:L168">D105*F105</f>
        <v>43.27</v>
      </c>
      <c r="M105" s="30">
        <f t="shared" si="5"/>
        <v>35.21</v>
      </c>
    </row>
    <row r="106" spans="1:13" s="30" customFormat="1" ht="63">
      <c r="A106" s="41"/>
      <c r="B106" s="42" t="s">
        <v>129</v>
      </c>
      <c r="C106" s="34"/>
      <c r="D106" s="55"/>
      <c r="E106" s="35"/>
      <c r="F106" s="35"/>
      <c r="G106" s="36"/>
      <c r="H106" s="28"/>
      <c r="I106" s="38"/>
      <c r="J106" s="39"/>
      <c r="L106" s="40">
        <f t="shared" si="7"/>
        <v>0</v>
      </c>
      <c r="M106" s="30">
        <f t="shared" si="5"/>
        <v>0</v>
      </c>
    </row>
    <row r="107" spans="1:13" s="30" customFormat="1" ht="18.75">
      <c r="A107" s="41"/>
      <c r="B107" s="49"/>
      <c r="C107" s="34"/>
      <c r="D107" s="55"/>
      <c r="E107" s="35"/>
      <c r="F107" s="35"/>
      <c r="G107" s="36"/>
      <c r="H107" s="28"/>
      <c r="I107" s="38"/>
      <c r="J107" s="39"/>
      <c r="L107" s="40">
        <f t="shared" si="7"/>
        <v>0</v>
      </c>
      <c r="M107" s="30">
        <f t="shared" si="5"/>
        <v>0</v>
      </c>
    </row>
    <row r="108" spans="1:13" s="30" customFormat="1" ht="18.75">
      <c r="A108" s="41"/>
      <c r="B108" s="42"/>
      <c r="C108" s="34"/>
      <c r="D108" s="55"/>
      <c r="E108" s="35"/>
      <c r="F108" s="35"/>
      <c r="G108" s="36"/>
      <c r="H108" s="28"/>
      <c r="I108" s="38"/>
      <c r="J108" s="39"/>
      <c r="L108" s="40">
        <f t="shared" si="7"/>
        <v>0</v>
      </c>
      <c r="M108" s="30">
        <f t="shared" si="5"/>
        <v>0</v>
      </c>
    </row>
    <row r="109" spans="1:13" s="30" customFormat="1" ht="36.75" customHeight="1">
      <c r="A109" s="41" t="s">
        <v>130</v>
      </c>
      <c r="B109" s="49" t="s">
        <v>131</v>
      </c>
      <c r="C109" s="34" t="s">
        <v>20</v>
      </c>
      <c r="D109" s="55">
        <v>1</v>
      </c>
      <c r="E109" s="35">
        <v>142.49</v>
      </c>
      <c r="F109" s="35">
        <f>ROUND(E109*1.2288,2)</f>
        <v>175.09</v>
      </c>
      <c r="G109" s="36">
        <f>ROUND(F109*D109,2)</f>
        <v>175.09</v>
      </c>
      <c r="H109" s="28">
        <v>1</v>
      </c>
      <c r="I109" s="38" t="s">
        <v>132</v>
      </c>
      <c r="J109" s="39"/>
      <c r="L109" s="40">
        <f t="shared" si="7"/>
        <v>175.09</v>
      </c>
      <c r="M109" s="30">
        <f t="shared" si="5"/>
        <v>142.49</v>
      </c>
    </row>
    <row r="110" spans="1:13" s="30" customFormat="1" ht="47.25">
      <c r="A110" s="41"/>
      <c r="B110" s="42" t="s">
        <v>133</v>
      </c>
      <c r="C110" s="34"/>
      <c r="D110" s="55"/>
      <c r="E110" s="35"/>
      <c r="F110" s="35"/>
      <c r="G110" s="36"/>
      <c r="H110" s="28"/>
      <c r="I110" s="38"/>
      <c r="J110" s="39"/>
      <c r="L110" s="40">
        <f t="shared" si="7"/>
        <v>0</v>
      </c>
      <c r="M110" s="30">
        <f t="shared" si="5"/>
        <v>0</v>
      </c>
    </row>
    <row r="111" spans="1:13" s="30" customFormat="1" ht="18.75">
      <c r="A111" s="41"/>
      <c r="B111" s="42"/>
      <c r="C111" s="34"/>
      <c r="D111" s="55"/>
      <c r="E111" s="35"/>
      <c r="F111" s="35"/>
      <c r="G111" s="36"/>
      <c r="H111" s="28"/>
      <c r="I111" s="38"/>
      <c r="J111" s="39"/>
      <c r="L111" s="40">
        <f t="shared" si="7"/>
        <v>0</v>
      </c>
      <c r="M111" s="30">
        <f t="shared" si="5"/>
        <v>0</v>
      </c>
    </row>
    <row r="112" spans="1:13" s="30" customFormat="1" ht="18.75">
      <c r="A112" s="41"/>
      <c r="B112" s="42"/>
      <c r="C112" s="34"/>
      <c r="D112" s="55"/>
      <c r="E112" s="35"/>
      <c r="F112" s="35"/>
      <c r="G112" s="36"/>
      <c r="H112" s="28"/>
      <c r="I112" s="38"/>
      <c r="J112" s="39"/>
      <c r="L112" s="40">
        <f t="shared" si="7"/>
        <v>0</v>
      </c>
      <c r="M112" s="30">
        <f t="shared" si="5"/>
        <v>0</v>
      </c>
    </row>
    <row r="113" spans="1:13" s="30" customFormat="1" ht="32.25" customHeight="1">
      <c r="A113" s="41" t="s">
        <v>134</v>
      </c>
      <c r="B113" s="60" t="s">
        <v>135</v>
      </c>
      <c r="C113" s="34"/>
      <c r="D113" s="55"/>
      <c r="E113" s="35"/>
      <c r="F113" s="35"/>
      <c r="G113" s="36"/>
      <c r="H113" s="28"/>
      <c r="I113" s="38"/>
      <c r="J113" s="39"/>
      <c r="L113" s="40">
        <f t="shared" si="7"/>
        <v>0</v>
      </c>
      <c r="M113" s="30">
        <f t="shared" si="5"/>
        <v>0</v>
      </c>
    </row>
    <row r="114" spans="1:13" s="30" customFormat="1" ht="40.5" customHeight="1">
      <c r="A114" s="41" t="s">
        <v>136</v>
      </c>
      <c r="B114" s="49" t="s">
        <v>137</v>
      </c>
      <c r="C114" s="34" t="s">
        <v>20</v>
      </c>
      <c r="D114" s="55">
        <v>2</v>
      </c>
      <c r="E114" s="35">
        <v>198.83</v>
      </c>
      <c r="F114" s="35">
        <f>ROUND(E114*1.2288,2)</f>
        <v>244.32</v>
      </c>
      <c r="G114" s="36">
        <f>ROUND(F114*D114,2)</f>
        <v>488.64</v>
      </c>
      <c r="H114" s="28">
        <v>2</v>
      </c>
      <c r="I114" s="38" t="s">
        <v>138</v>
      </c>
      <c r="J114" s="39"/>
      <c r="L114" s="40">
        <f t="shared" si="7"/>
        <v>488.64</v>
      </c>
      <c r="M114" s="30">
        <f t="shared" si="5"/>
        <v>397.66</v>
      </c>
    </row>
    <row r="115" spans="1:13" s="30" customFormat="1" ht="84.75" customHeight="1">
      <c r="A115" s="41"/>
      <c r="B115" s="42" t="s">
        <v>139</v>
      </c>
      <c r="C115" s="34"/>
      <c r="D115" s="55"/>
      <c r="E115" s="35"/>
      <c r="F115" s="35"/>
      <c r="G115" s="36"/>
      <c r="H115" s="28"/>
      <c r="I115" s="38"/>
      <c r="J115" s="39"/>
      <c r="L115" s="40">
        <f t="shared" si="7"/>
        <v>0</v>
      </c>
      <c r="M115" s="30">
        <f t="shared" si="5"/>
        <v>0</v>
      </c>
    </row>
    <row r="116" spans="1:13" s="30" customFormat="1" ht="18.75">
      <c r="A116" s="41"/>
      <c r="B116" s="42"/>
      <c r="C116" s="34"/>
      <c r="D116" s="55"/>
      <c r="E116" s="35"/>
      <c r="F116" s="35"/>
      <c r="G116" s="36"/>
      <c r="H116" s="28"/>
      <c r="I116" s="38"/>
      <c r="J116" s="39"/>
      <c r="L116" s="40">
        <f t="shared" si="7"/>
        <v>0</v>
      </c>
      <c r="M116" s="30">
        <f t="shared" si="5"/>
        <v>0</v>
      </c>
    </row>
    <row r="117" spans="1:13" s="30" customFormat="1" ht="18.75">
      <c r="A117" s="41" t="s">
        <v>140</v>
      </c>
      <c r="B117" s="49" t="s">
        <v>141</v>
      </c>
      <c r="C117" s="34" t="s">
        <v>20</v>
      </c>
      <c r="D117" s="55">
        <v>2</v>
      </c>
      <c r="E117" s="35">
        <v>367.89</v>
      </c>
      <c r="F117" s="35">
        <f>ROUND(E117*1.2288,2)</f>
        <v>452.06</v>
      </c>
      <c r="G117" s="36">
        <f>ROUND(F117*D117,2)</f>
        <v>904.12</v>
      </c>
      <c r="H117" s="28">
        <v>2</v>
      </c>
      <c r="I117" s="38" t="s">
        <v>142</v>
      </c>
      <c r="J117" s="39"/>
      <c r="L117" s="40">
        <f t="shared" si="7"/>
        <v>904.12</v>
      </c>
      <c r="M117" s="30">
        <f t="shared" si="5"/>
        <v>735.78</v>
      </c>
    </row>
    <row r="118" spans="1:13" s="30" customFormat="1" ht="94.5">
      <c r="A118" s="41"/>
      <c r="B118" s="42" t="s">
        <v>143</v>
      </c>
      <c r="C118" s="34"/>
      <c r="D118" s="55"/>
      <c r="E118" s="35"/>
      <c r="F118" s="35"/>
      <c r="G118" s="36"/>
      <c r="H118" s="28"/>
      <c r="I118" s="38"/>
      <c r="J118" s="39"/>
      <c r="L118" s="40">
        <f t="shared" si="7"/>
        <v>0</v>
      </c>
      <c r="M118" s="30">
        <f t="shared" si="5"/>
        <v>0</v>
      </c>
    </row>
    <row r="119" spans="1:13" s="30" customFormat="1" ht="18.75">
      <c r="A119" s="41"/>
      <c r="B119" s="42"/>
      <c r="C119" s="34"/>
      <c r="D119" s="55"/>
      <c r="E119" s="35"/>
      <c r="F119" s="35"/>
      <c r="G119" s="36"/>
      <c r="H119" s="28"/>
      <c r="I119" s="38"/>
      <c r="J119" s="39"/>
      <c r="L119" s="40">
        <f t="shared" si="7"/>
        <v>0</v>
      </c>
      <c r="M119" s="30">
        <f t="shared" si="5"/>
        <v>0</v>
      </c>
    </row>
    <row r="120" spans="1:13" s="30" customFormat="1" ht="18.75" hidden="1">
      <c r="A120" s="41"/>
      <c r="B120" s="42"/>
      <c r="C120" s="34"/>
      <c r="D120" s="55"/>
      <c r="E120" s="35"/>
      <c r="F120" s="35"/>
      <c r="G120" s="36"/>
      <c r="H120" s="28"/>
      <c r="I120" s="38"/>
      <c r="J120" s="39"/>
      <c r="L120" s="40">
        <f t="shared" si="7"/>
        <v>0</v>
      </c>
      <c r="M120" s="30">
        <f t="shared" si="5"/>
        <v>0</v>
      </c>
    </row>
    <row r="121" spans="1:13" s="30" customFormat="1" ht="18.75" hidden="1">
      <c r="A121" s="41"/>
      <c r="B121" s="42"/>
      <c r="C121" s="34"/>
      <c r="D121" s="55"/>
      <c r="E121" s="35"/>
      <c r="F121" s="35"/>
      <c r="G121" s="36"/>
      <c r="H121" s="28"/>
      <c r="I121" s="38"/>
      <c r="J121" s="39"/>
      <c r="L121" s="40">
        <f t="shared" si="7"/>
        <v>0</v>
      </c>
      <c r="M121" s="30">
        <f t="shared" si="5"/>
        <v>0</v>
      </c>
    </row>
    <row r="122" spans="1:13" s="30" customFormat="1" ht="40.5" customHeight="1">
      <c r="A122" s="41" t="s">
        <v>144</v>
      </c>
      <c r="B122" s="49" t="s">
        <v>145</v>
      </c>
      <c r="C122" s="34" t="s">
        <v>20</v>
      </c>
      <c r="D122" s="55">
        <v>2</v>
      </c>
      <c r="E122" s="35">
        <v>246.27</v>
      </c>
      <c r="F122" s="35">
        <f>ROUND(E122*1.2288,2)</f>
        <v>302.62</v>
      </c>
      <c r="G122" s="36">
        <f>ROUND(F122*D122,2)</f>
        <v>605.24</v>
      </c>
      <c r="H122" s="28">
        <v>2</v>
      </c>
      <c r="I122" s="38" t="s">
        <v>138</v>
      </c>
      <c r="J122" s="39"/>
      <c r="L122" s="40">
        <f t="shared" si="7"/>
        <v>605.24</v>
      </c>
      <c r="M122" s="30">
        <f t="shared" si="5"/>
        <v>492.54</v>
      </c>
    </row>
    <row r="123" spans="1:13" s="30" customFormat="1" ht="94.5">
      <c r="A123" s="41"/>
      <c r="B123" s="42" t="s">
        <v>146</v>
      </c>
      <c r="C123" s="34"/>
      <c r="D123" s="55"/>
      <c r="E123" s="35"/>
      <c r="F123" s="35"/>
      <c r="G123" s="36"/>
      <c r="H123" s="28"/>
      <c r="I123" s="38"/>
      <c r="J123" s="39"/>
      <c r="L123" s="40">
        <f t="shared" si="7"/>
        <v>0</v>
      </c>
      <c r="M123" s="30">
        <f t="shared" si="5"/>
        <v>0</v>
      </c>
    </row>
    <row r="124" spans="1:13" s="30" customFormat="1" ht="23.25" customHeight="1" hidden="1">
      <c r="A124" s="41"/>
      <c r="B124" s="42"/>
      <c r="C124" s="34"/>
      <c r="D124" s="55"/>
      <c r="E124" s="35"/>
      <c r="F124" s="35"/>
      <c r="G124" s="36"/>
      <c r="H124" s="28"/>
      <c r="I124" s="38"/>
      <c r="J124" s="39"/>
      <c r="L124" s="40">
        <f t="shared" si="7"/>
        <v>0</v>
      </c>
      <c r="M124" s="30">
        <f t="shared" si="5"/>
        <v>0</v>
      </c>
    </row>
    <row r="125" spans="1:13" s="30" customFormat="1" ht="18.75" hidden="1">
      <c r="A125" s="41"/>
      <c r="B125" s="42"/>
      <c r="C125" s="34"/>
      <c r="D125" s="55"/>
      <c r="E125" s="35"/>
      <c r="F125" s="35"/>
      <c r="G125" s="36"/>
      <c r="H125" s="28"/>
      <c r="I125" s="38"/>
      <c r="J125" s="39"/>
      <c r="L125" s="40">
        <f t="shared" si="7"/>
        <v>0</v>
      </c>
      <c r="M125" s="30">
        <f t="shared" si="5"/>
        <v>0</v>
      </c>
    </row>
    <row r="126" spans="1:13" s="30" customFormat="1" ht="18.75">
      <c r="A126" s="41" t="s">
        <v>147</v>
      </c>
      <c r="B126" s="60" t="s">
        <v>148</v>
      </c>
      <c r="C126" s="34"/>
      <c r="D126" s="55"/>
      <c r="E126" s="35"/>
      <c r="F126" s="35"/>
      <c r="G126" s="36"/>
      <c r="H126" s="28"/>
      <c r="I126" s="38"/>
      <c r="J126" s="39"/>
      <c r="L126" s="40">
        <f t="shared" si="7"/>
        <v>0</v>
      </c>
      <c r="M126" s="30">
        <f t="shared" si="5"/>
        <v>0</v>
      </c>
    </row>
    <row r="127" spans="1:13" s="30" customFormat="1" ht="47.25">
      <c r="A127" s="41"/>
      <c r="B127" s="42" t="s">
        <v>149</v>
      </c>
      <c r="C127" s="34"/>
      <c r="D127" s="55"/>
      <c r="E127" s="35"/>
      <c r="F127" s="35"/>
      <c r="G127" s="36"/>
      <c r="H127" s="28"/>
      <c r="I127" s="38"/>
      <c r="J127" s="39"/>
      <c r="L127" s="40">
        <f t="shared" si="7"/>
        <v>0</v>
      </c>
      <c r="M127" s="30">
        <f t="shared" si="5"/>
        <v>0</v>
      </c>
    </row>
    <row r="128" spans="1:13" s="30" customFormat="1" ht="18.75">
      <c r="A128" s="41"/>
      <c r="B128" s="60"/>
      <c r="C128" s="34"/>
      <c r="D128" s="55"/>
      <c r="E128" s="35"/>
      <c r="F128" s="35"/>
      <c r="G128" s="36"/>
      <c r="H128" s="28"/>
      <c r="I128" s="38"/>
      <c r="J128" s="39"/>
      <c r="L128" s="40">
        <f t="shared" si="7"/>
        <v>0</v>
      </c>
      <c r="M128" s="30">
        <f t="shared" si="5"/>
        <v>0</v>
      </c>
    </row>
    <row r="129" spans="1:13" s="30" customFormat="1" ht="18.75" hidden="1">
      <c r="A129" s="41"/>
      <c r="B129" s="42"/>
      <c r="C129" s="34"/>
      <c r="D129" s="55"/>
      <c r="E129" s="35"/>
      <c r="F129" s="35"/>
      <c r="G129" s="36"/>
      <c r="H129" s="28"/>
      <c r="I129" s="38"/>
      <c r="J129" s="39"/>
      <c r="L129" s="40">
        <f t="shared" si="7"/>
        <v>0</v>
      </c>
      <c r="M129" s="30">
        <f t="shared" si="5"/>
        <v>0</v>
      </c>
    </row>
    <row r="130" spans="1:13" s="30" customFormat="1" ht="18.75" hidden="1">
      <c r="A130" s="41"/>
      <c r="B130" s="42"/>
      <c r="C130" s="34"/>
      <c r="D130" s="55"/>
      <c r="E130" s="35"/>
      <c r="F130" s="35"/>
      <c r="G130" s="36"/>
      <c r="H130" s="28"/>
      <c r="I130" s="38"/>
      <c r="J130" s="39"/>
      <c r="L130" s="40">
        <f t="shared" si="7"/>
        <v>0</v>
      </c>
      <c r="M130" s="30">
        <f t="shared" si="5"/>
        <v>0</v>
      </c>
    </row>
    <row r="131" spans="1:13" s="30" customFormat="1" ht="18.75" hidden="1">
      <c r="A131" s="41"/>
      <c r="B131" s="42"/>
      <c r="C131" s="34"/>
      <c r="D131" s="55"/>
      <c r="E131" s="35"/>
      <c r="F131" s="35"/>
      <c r="G131" s="36"/>
      <c r="H131" s="28"/>
      <c r="I131" s="38"/>
      <c r="J131" s="39"/>
      <c r="L131" s="40">
        <f t="shared" si="7"/>
        <v>0</v>
      </c>
      <c r="M131" s="30">
        <f t="shared" si="5"/>
        <v>0</v>
      </c>
    </row>
    <row r="132" spans="1:13" s="30" customFormat="1" ht="18.75">
      <c r="A132" s="41" t="s">
        <v>150</v>
      </c>
      <c r="B132" s="49" t="s">
        <v>151</v>
      </c>
      <c r="C132" s="34" t="s">
        <v>20</v>
      </c>
      <c r="D132" s="55">
        <v>1</v>
      </c>
      <c r="E132" s="35">
        <v>56.76</v>
      </c>
      <c r="F132" s="35">
        <f>ROUND(E132*1.2288,2)</f>
        <v>69.75</v>
      </c>
      <c r="G132" s="36">
        <f>ROUND(F132*D132,2)</f>
        <v>69.75</v>
      </c>
      <c r="H132" s="28">
        <v>1</v>
      </c>
      <c r="I132" s="38" t="s">
        <v>152</v>
      </c>
      <c r="J132" s="39"/>
      <c r="L132" s="40">
        <f t="shared" si="7"/>
        <v>69.75</v>
      </c>
      <c r="M132" s="30">
        <f t="shared" si="5"/>
        <v>56.76</v>
      </c>
    </row>
    <row r="133" spans="1:13" s="30" customFormat="1" ht="18.75">
      <c r="A133" s="41"/>
      <c r="B133" s="42"/>
      <c r="C133" s="34"/>
      <c r="D133" s="55"/>
      <c r="E133" s="35"/>
      <c r="F133" s="35"/>
      <c r="G133" s="36"/>
      <c r="H133" s="28"/>
      <c r="I133" s="38"/>
      <c r="J133" s="39"/>
      <c r="L133" s="40">
        <f t="shared" si="7"/>
        <v>0</v>
      </c>
      <c r="M133" s="30">
        <f t="shared" si="5"/>
        <v>0</v>
      </c>
    </row>
    <row r="134" spans="1:13" s="30" customFormat="1" ht="18.75">
      <c r="A134" s="41"/>
      <c r="B134" s="42"/>
      <c r="C134" s="34"/>
      <c r="D134" s="55"/>
      <c r="E134" s="35"/>
      <c r="F134" s="35"/>
      <c r="G134" s="36"/>
      <c r="H134" s="28"/>
      <c r="I134" s="38"/>
      <c r="J134" s="39"/>
      <c r="L134" s="40">
        <f t="shared" si="7"/>
        <v>0</v>
      </c>
      <c r="M134" s="30">
        <f t="shared" si="5"/>
        <v>0</v>
      </c>
    </row>
    <row r="135" spans="1:13" s="30" customFormat="1" ht="30.75" customHeight="1">
      <c r="A135" s="41" t="s">
        <v>153</v>
      </c>
      <c r="B135" s="49" t="s">
        <v>154</v>
      </c>
      <c r="C135" s="34" t="s">
        <v>20</v>
      </c>
      <c r="D135" s="55">
        <v>2</v>
      </c>
      <c r="E135" s="35">
        <v>116.16</v>
      </c>
      <c r="F135" s="35">
        <f>ROUND(E135*1.2288,2)</f>
        <v>142.74</v>
      </c>
      <c r="G135" s="36">
        <f>ROUND(F135*D135,2)</f>
        <v>285.48</v>
      </c>
      <c r="H135" s="28">
        <v>2</v>
      </c>
      <c r="I135" s="38" t="s">
        <v>155</v>
      </c>
      <c r="J135" s="39"/>
      <c r="L135" s="40">
        <f t="shared" si="7"/>
        <v>285.48</v>
      </c>
      <c r="M135" s="30">
        <f t="shared" si="5"/>
        <v>232.32</v>
      </c>
    </row>
    <row r="136" spans="1:13" s="30" customFormat="1" ht="18.75">
      <c r="A136" s="41"/>
      <c r="B136" s="42"/>
      <c r="C136" s="34"/>
      <c r="D136" s="55"/>
      <c r="E136" s="35"/>
      <c r="F136" s="35"/>
      <c r="G136" s="36"/>
      <c r="H136" s="28"/>
      <c r="I136" s="38"/>
      <c r="J136" s="39"/>
      <c r="L136" s="40">
        <f t="shared" si="7"/>
        <v>0</v>
      </c>
      <c r="M136" s="30">
        <f t="shared" si="5"/>
        <v>0</v>
      </c>
    </row>
    <row r="137" spans="1:13" s="30" customFormat="1" ht="18.75">
      <c r="A137" s="41" t="s">
        <v>156</v>
      </c>
      <c r="B137" s="60" t="s">
        <v>157</v>
      </c>
      <c r="C137" s="34"/>
      <c r="D137" s="55"/>
      <c r="E137" s="35"/>
      <c r="F137" s="35"/>
      <c r="G137" s="36"/>
      <c r="H137" s="28"/>
      <c r="I137" s="38"/>
      <c r="J137" s="39"/>
      <c r="L137" s="40">
        <f t="shared" si="7"/>
        <v>0</v>
      </c>
      <c r="M137" s="30">
        <f t="shared" si="5"/>
        <v>0</v>
      </c>
    </row>
    <row r="138" spans="1:13" s="30" customFormat="1" ht="18.75">
      <c r="A138" s="41"/>
      <c r="B138" s="49"/>
      <c r="C138" s="34"/>
      <c r="D138" s="55"/>
      <c r="E138" s="35"/>
      <c r="F138" s="35"/>
      <c r="G138" s="36"/>
      <c r="H138" s="28"/>
      <c r="I138" s="38"/>
      <c r="J138" s="39"/>
      <c r="L138" s="40">
        <f t="shared" si="7"/>
        <v>0</v>
      </c>
      <c r="M138" s="30">
        <f t="shared" si="5"/>
        <v>0</v>
      </c>
    </row>
    <row r="139" spans="1:13" s="30" customFormat="1" ht="18.75">
      <c r="A139" s="41" t="s">
        <v>158</v>
      </c>
      <c r="B139" s="60" t="s">
        <v>159</v>
      </c>
      <c r="C139" s="34"/>
      <c r="D139" s="55"/>
      <c r="E139" s="35"/>
      <c r="F139" s="35"/>
      <c r="G139" s="36"/>
      <c r="H139" s="28"/>
      <c r="I139" s="38"/>
      <c r="J139" s="39"/>
      <c r="L139" s="40">
        <f t="shared" si="7"/>
        <v>0</v>
      </c>
      <c r="M139" s="30">
        <f t="shared" si="5"/>
        <v>0</v>
      </c>
    </row>
    <row r="140" spans="1:13" s="30" customFormat="1" ht="31.5">
      <c r="A140" s="41" t="s">
        <v>160</v>
      </c>
      <c r="B140" s="49" t="s">
        <v>161</v>
      </c>
      <c r="C140" s="34" t="s">
        <v>20</v>
      </c>
      <c r="D140" s="55">
        <v>1</v>
      </c>
      <c r="E140" s="35">
        <v>1264.07</v>
      </c>
      <c r="F140" s="35">
        <f>ROUND(E140*1.2288,2)</f>
        <v>1553.29</v>
      </c>
      <c r="G140" s="36">
        <f>ROUND(F140*D140,2)</f>
        <v>1553.29</v>
      </c>
      <c r="H140" s="28">
        <v>1</v>
      </c>
      <c r="I140" s="38" t="s">
        <v>162</v>
      </c>
      <c r="J140" s="39"/>
      <c r="L140" s="40">
        <f t="shared" si="7"/>
        <v>1553.29</v>
      </c>
      <c r="M140" s="30">
        <f t="shared" si="5"/>
        <v>1264.07</v>
      </c>
    </row>
    <row r="141" spans="1:13" s="30" customFormat="1" ht="113.25" customHeight="1">
      <c r="A141" s="41"/>
      <c r="B141" s="42" t="s">
        <v>163</v>
      </c>
      <c r="C141" s="34"/>
      <c r="D141" s="55"/>
      <c r="E141" s="35"/>
      <c r="F141" s="35"/>
      <c r="G141" s="36"/>
      <c r="H141" s="28"/>
      <c r="I141" s="38"/>
      <c r="J141" s="39"/>
      <c r="L141" s="40">
        <f t="shared" si="7"/>
        <v>0</v>
      </c>
      <c r="M141" s="30">
        <f t="shared" si="5"/>
        <v>0</v>
      </c>
    </row>
    <row r="142" spans="1:13" s="30" customFormat="1" ht="18.75">
      <c r="A142" s="41"/>
      <c r="B142" s="42"/>
      <c r="C142" s="34"/>
      <c r="D142" s="55"/>
      <c r="E142" s="35"/>
      <c r="F142" s="35"/>
      <c r="G142" s="36"/>
      <c r="H142" s="28"/>
      <c r="I142" s="38"/>
      <c r="J142" s="39"/>
      <c r="L142" s="40">
        <f t="shared" si="7"/>
        <v>0</v>
      </c>
      <c r="M142" s="30">
        <f aca="true" t="shared" si="8" ref="M142:M205">D142*E142</f>
        <v>0</v>
      </c>
    </row>
    <row r="143" spans="1:13" s="30" customFormat="1" ht="30" customHeight="1">
      <c r="A143" s="41" t="s">
        <v>164</v>
      </c>
      <c r="B143" s="60" t="s">
        <v>165</v>
      </c>
      <c r="C143" s="34"/>
      <c r="D143" s="55"/>
      <c r="E143" s="35"/>
      <c r="F143" s="35"/>
      <c r="G143" s="36"/>
      <c r="H143" s="28"/>
      <c r="I143" s="38"/>
      <c r="J143" s="39"/>
      <c r="L143" s="40">
        <f t="shared" si="7"/>
        <v>0</v>
      </c>
      <c r="M143" s="30">
        <f t="shared" si="8"/>
        <v>0</v>
      </c>
    </row>
    <row r="144" spans="1:13" s="30" customFormat="1" ht="94.5">
      <c r="A144" s="41"/>
      <c r="B144" s="42" t="s">
        <v>166</v>
      </c>
      <c r="C144" s="34"/>
      <c r="D144" s="55"/>
      <c r="E144" s="35"/>
      <c r="F144" s="35"/>
      <c r="G144" s="36"/>
      <c r="H144" s="28"/>
      <c r="I144" s="38"/>
      <c r="J144" s="39"/>
      <c r="L144" s="40">
        <f t="shared" si="7"/>
        <v>0</v>
      </c>
      <c r="M144" s="30">
        <f t="shared" si="8"/>
        <v>0</v>
      </c>
    </row>
    <row r="145" spans="1:13" s="30" customFormat="1" ht="18.75">
      <c r="A145" s="41"/>
      <c r="B145" s="60"/>
      <c r="C145" s="34"/>
      <c r="D145" s="55"/>
      <c r="E145" s="35"/>
      <c r="F145" s="35"/>
      <c r="G145" s="36"/>
      <c r="H145" s="28"/>
      <c r="I145" s="38"/>
      <c r="J145" s="39"/>
      <c r="L145" s="40">
        <f t="shared" si="7"/>
        <v>0</v>
      </c>
      <c r="M145" s="30">
        <f t="shared" si="8"/>
        <v>0</v>
      </c>
    </row>
    <row r="146" spans="1:13" s="30" customFormat="1" ht="18.75" hidden="1">
      <c r="A146" s="41"/>
      <c r="B146" s="42"/>
      <c r="C146" s="34"/>
      <c r="D146" s="55"/>
      <c r="E146" s="35"/>
      <c r="F146" s="35"/>
      <c r="G146" s="36"/>
      <c r="H146" s="38"/>
      <c r="I146" s="38"/>
      <c r="J146" s="39"/>
      <c r="L146" s="40">
        <f t="shared" si="7"/>
        <v>0</v>
      </c>
      <c r="M146" s="30">
        <f t="shared" si="8"/>
        <v>0</v>
      </c>
    </row>
    <row r="147" spans="1:13" s="30" customFormat="1" ht="18.75" hidden="1">
      <c r="A147" s="41"/>
      <c r="B147" s="42"/>
      <c r="C147" s="34"/>
      <c r="D147" s="55"/>
      <c r="E147" s="35"/>
      <c r="F147" s="35"/>
      <c r="G147" s="36"/>
      <c r="H147" s="38"/>
      <c r="I147" s="38"/>
      <c r="J147" s="39"/>
      <c r="L147" s="40">
        <f t="shared" si="7"/>
        <v>0</v>
      </c>
      <c r="M147" s="30">
        <f t="shared" si="8"/>
        <v>0</v>
      </c>
    </row>
    <row r="148" spans="1:13" s="30" customFormat="1" ht="31.5">
      <c r="A148" s="41" t="s">
        <v>167</v>
      </c>
      <c r="B148" s="49" t="s">
        <v>168</v>
      </c>
      <c r="C148" s="34" t="s">
        <v>86</v>
      </c>
      <c r="D148" s="55">
        <v>65</v>
      </c>
      <c r="E148" s="35">
        <v>24.71</v>
      </c>
      <c r="F148" s="35">
        <f>ROUND(E148*1.2288,2)</f>
        <v>30.36</v>
      </c>
      <c r="G148" s="36">
        <f>ROUND(F148*D148,2)</f>
        <v>1973.4</v>
      </c>
      <c r="H148" s="53">
        <v>65</v>
      </c>
      <c r="I148" s="38" t="s">
        <v>169</v>
      </c>
      <c r="J148" s="39"/>
      <c r="L148" s="40">
        <f t="shared" si="7"/>
        <v>1973.3999999999999</v>
      </c>
      <c r="M148" s="30">
        <f t="shared" si="8"/>
        <v>1606.15</v>
      </c>
    </row>
    <row r="149" spans="1:13" s="30" customFormat="1" ht="18.75">
      <c r="A149" s="41"/>
      <c r="B149" s="42"/>
      <c r="C149" s="34"/>
      <c r="D149" s="55"/>
      <c r="E149" s="35"/>
      <c r="F149" s="35"/>
      <c r="G149" s="36"/>
      <c r="H149" s="38"/>
      <c r="I149" s="38"/>
      <c r="J149" s="39"/>
      <c r="L149" s="40">
        <f t="shared" si="7"/>
        <v>0</v>
      </c>
      <c r="M149" s="30">
        <f t="shared" si="8"/>
        <v>0</v>
      </c>
    </row>
    <row r="150" spans="1:13" s="30" customFormat="1" ht="18.75" hidden="1">
      <c r="A150" s="41"/>
      <c r="B150" s="42"/>
      <c r="C150" s="34"/>
      <c r="D150" s="55"/>
      <c r="E150" s="35"/>
      <c r="F150" s="35"/>
      <c r="G150" s="36"/>
      <c r="H150" s="38"/>
      <c r="I150" s="38"/>
      <c r="J150" s="39"/>
      <c r="L150" s="40">
        <f t="shared" si="7"/>
        <v>0</v>
      </c>
      <c r="M150" s="30">
        <f t="shared" si="8"/>
        <v>0</v>
      </c>
    </row>
    <row r="151" spans="1:13" s="30" customFormat="1" ht="31.5">
      <c r="A151" s="41" t="s">
        <v>170</v>
      </c>
      <c r="B151" s="49" t="s">
        <v>171</v>
      </c>
      <c r="C151" s="34" t="s">
        <v>86</v>
      </c>
      <c r="D151" s="55">
        <v>8</v>
      </c>
      <c r="E151" s="35">
        <v>41.77</v>
      </c>
      <c r="F151" s="35">
        <f>ROUND(E151*1.2288,2)</f>
        <v>51.33</v>
      </c>
      <c r="G151" s="36">
        <f>ROUND(F151*D151,2)</f>
        <v>410.64</v>
      </c>
      <c r="H151" s="53">
        <v>8</v>
      </c>
      <c r="I151" s="38" t="s">
        <v>172</v>
      </c>
      <c r="J151" s="39"/>
      <c r="L151" s="40">
        <f t="shared" si="7"/>
        <v>410.64</v>
      </c>
      <c r="M151" s="30">
        <f t="shared" si="8"/>
        <v>334.16</v>
      </c>
    </row>
    <row r="152" spans="1:13" s="30" customFormat="1" ht="18.75">
      <c r="A152" s="41"/>
      <c r="B152" s="42"/>
      <c r="C152" s="34"/>
      <c r="D152" s="55"/>
      <c r="E152" s="35"/>
      <c r="F152" s="35"/>
      <c r="G152" s="36"/>
      <c r="H152" s="38"/>
      <c r="I152" s="38"/>
      <c r="J152" s="39"/>
      <c r="L152" s="40">
        <f t="shared" si="7"/>
        <v>0</v>
      </c>
      <c r="M152" s="30">
        <f t="shared" si="8"/>
        <v>0</v>
      </c>
    </row>
    <row r="153" spans="1:13" s="30" customFormat="1" ht="18.75" hidden="1">
      <c r="A153" s="41"/>
      <c r="B153" s="42"/>
      <c r="C153" s="34"/>
      <c r="D153" s="55"/>
      <c r="E153" s="35"/>
      <c r="F153" s="35"/>
      <c r="G153" s="36"/>
      <c r="H153" s="38"/>
      <c r="I153" s="38"/>
      <c r="J153" s="39"/>
      <c r="L153" s="40">
        <f t="shared" si="7"/>
        <v>0</v>
      </c>
      <c r="M153" s="30">
        <f t="shared" si="8"/>
        <v>0</v>
      </c>
    </row>
    <row r="154" spans="1:13" s="30" customFormat="1" ht="18.75">
      <c r="A154" s="41" t="s">
        <v>173</v>
      </c>
      <c r="B154" s="60" t="s">
        <v>174</v>
      </c>
      <c r="C154" s="34"/>
      <c r="D154" s="55"/>
      <c r="E154" s="35"/>
      <c r="F154" s="35"/>
      <c r="G154" s="36"/>
      <c r="H154" s="28"/>
      <c r="I154" s="38"/>
      <c r="J154" s="39"/>
      <c r="L154" s="40">
        <f t="shared" si="7"/>
        <v>0</v>
      </c>
      <c r="M154" s="30">
        <f t="shared" si="8"/>
        <v>0</v>
      </c>
    </row>
    <row r="155" spans="1:13" s="30" customFormat="1" ht="94.5">
      <c r="A155" s="41"/>
      <c r="B155" s="42" t="s">
        <v>175</v>
      </c>
      <c r="C155" s="34"/>
      <c r="D155" s="55"/>
      <c r="E155" s="35"/>
      <c r="F155" s="35"/>
      <c r="G155" s="36"/>
      <c r="H155" s="28"/>
      <c r="I155" s="38"/>
      <c r="J155" s="39"/>
      <c r="L155" s="40">
        <f t="shared" si="7"/>
        <v>0</v>
      </c>
      <c r="M155" s="30">
        <f t="shared" si="8"/>
        <v>0</v>
      </c>
    </row>
    <row r="156" spans="1:13" s="30" customFormat="1" ht="18.75">
      <c r="A156" s="41"/>
      <c r="B156" s="60"/>
      <c r="C156" s="34"/>
      <c r="D156" s="55"/>
      <c r="E156" s="35"/>
      <c r="F156" s="35"/>
      <c r="G156" s="36"/>
      <c r="H156" s="28"/>
      <c r="I156" s="38"/>
      <c r="J156" s="39"/>
      <c r="L156" s="40">
        <f t="shared" si="7"/>
        <v>0</v>
      </c>
      <c r="M156" s="30">
        <f t="shared" si="8"/>
        <v>0</v>
      </c>
    </row>
    <row r="157" spans="1:13" s="30" customFormat="1" ht="32.25" customHeight="1">
      <c r="A157" s="41" t="s">
        <v>176</v>
      </c>
      <c r="B157" s="49" t="s">
        <v>177</v>
      </c>
      <c r="C157" s="34" t="s">
        <v>20</v>
      </c>
      <c r="D157" s="55">
        <v>1</v>
      </c>
      <c r="E157" s="35">
        <v>615.99</v>
      </c>
      <c r="F157" s="35">
        <f>ROUND(E157*1.2288,2)</f>
        <v>756.93</v>
      </c>
      <c r="G157" s="36">
        <f>ROUND(F157*D157,2)</f>
        <v>756.93</v>
      </c>
      <c r="H157" s="28">
        <v>1</v>
      </c>
      <c r="I157" s="38" t="s">
        <v>178</v>
      </c>
      <c r="J157" s="39"/>
      <c r="L157" s="40">
        <f t="shared" si="7"/>
        <v>756.93</v>
      </c>
      <c r="M157" s="30">
        <f t="shared" si="8"/>
        <v>615.99</v>
      </c>
    </row>
    <row r="158" spans="1:13" s="30" customFormat="1" ht="18.75">
      <c r="A158" s="41"/>
      <c r="B158" s="42"/>
      <c r="C158" s="34"/>
      <c r="D158" s="55"/>
      <c r="E158" s="35"/>
      <c r="F158" s="35"/>
      <c r="G158" s="36"/>
      <c r="H158" s="28"/>
      <c r="I158" s="38"/>
      <c r="J158" s="39"/>
      <c r="L158" s="40">
        <f t="shared" si="7"/>
        <v>0</v>
      </c>
      <c r="M158" s="30">
        <f t="shared" si="8"/>
        <v>0</v>
      </c>
    </row>
    <row r="159" spans="1:13" s="30" customFormat="1" ht="18.75">
      <c r="A159" s="41"/>
      <c r="B159" s="45"/>
      <c r="C159" s="34"/>
      <c r="D159" s="55"/>
      <c r="E159" s="35"/>
      <c r="F159" s="35"/>
      <c r="G159" s="36"/>
      <c r="H159" s="28"/>
      <c r="I159" s="38"/>
      <c r="J159" s="39"/>
      <c r="L159" s="40">
        <f t="shared" si="7"/>
        <v>0</v>
      </c>
      <c r="M159" s="30">
        <f t="shared" si="8"/>
        <v>0</v>
      </c>
    </row>
    <row r="160" spans="1:13" s="30" customFormat="1" ht="31.5">
      <c r="A160" s="41" t="s">
        <v>179</v>
      </c>
      <c r="B160" s="45" t="s">
        <v>180</v>
      </c>
      <c r="C160" s="34" t="s">
        <v>20</v>
      </c>
      <c r="D160" s="55">
        <v>1</v>
      </c>
      <c r="E160" s="35">
        <v>2917.73</v>
      </c>
      <c r="F160" s="35">
        <f>ROUND(E160*1.2288,2)</f>
        <v>3585.31</v>
      </c>
      <c r="G160" s="36">
        <f>ROUND(F160*D160,2)</f>
        <v>3585.31</v>
      </c>
      <c r="H160" s="28">
        <v>1</v>
      </c>
      <c r="I160" s="38" t="s">
        <v>181</v>
      </c>
      <c r="J160" s="39"/>
      <c r="L160" s="40">
        <f t="shared" si="7"/>
        <v>3585.31</v>
      </c>
      <c r="M160" s="30">
        <f t="shared" si="8"/>
        <v>2917.73</v>
      </c>
    </row>
    <row r="161" spans="1:13" s="30" customFormat="1" ht="18.75">
      <c r="A161" s="41"/>
      <c r="B161" s="49"/>
      <c r="C161" s="34"/>
      <c r="D161" s="55"/>
      <c r="E161" s="35"/>
      <c r="F161" s="35"/>
      <c r="G161" s="36"/>
      <c r="H161" s="28"/>
      <c r="I161" s="38"/>
      <c r="J161" s="39"/>
      <c r="L161" s="40">
        <f t="shared" si="7"/>
        <v>0</v>
      </c>
      <c r="M161" s="30">
        <f t="shared" si="8"/>
        <v>0</v>
      </c>
    </row>
    <row r="162" spans="1:13" s="30" customFormat="1" ht="34.5" customHeight="1">
      <c r="A162" s="41" t="s">
        <v>182</v>
      </c>
      <c r="B162" s="49" t="s">
        <v>183</v>
      </c>
      <c r="C162" s="34" t="s">
        <v>20</v>
      </c>
      <c r="D162" s="55">
        <v>2</v>
      </c>
      <c r="E162" s="35">
        <v>39.68</v>
      </c>
      <c r="F162" s="35">
        <f>ROUND(E162*1.2288,2)</f>
        <v>48.76</v>
      </c>
      <c r="G162" s="36">
        <f>ROUND(F162*D162,2)</f>
        <v>97.52</v>
      </c>
      <c r="H162" s="28">
        <v>2</v>
      </c>
      <c r="I162" s="38" t="s">
        <v>178</v>
      </c>
      <c r="J162" s="39"/>
      <c r="L162" s="40">
        <f t="shared" si="7"/>
        <v>97.52</v>
      </c>
      <c r="M162" s="30">
        <f t="shared" si="8"/>
        <v>79.36</v>
      </c>
    </row>
    <row r="163" spans="1:13" s="30" customFormat="1" ht="63">
      <c r="A163" s="41"/>
      <c r="B163" s="42" t="s">
        <v>184</v>
      </c>
      <c r="C163" s="34"/>
      <c r="D163" s="55"/>
      <c r="E163" s="35"/>
      <c r="F163" s="35"/>
      <c r="G163" s="36"/>
      <c r="H163" s="28"/>
      <c r="I163" s="38"/>
      <c r="J163" s="39"/>
      <c r="L163" s="40">
        <f t="shared" si="7"/>
        <v>0</v>
      </c>
      <c r="M163" s="30">
        <f t="shared" si="8"/>
        <v>0</v>
      </c>
    </row>
    <row r="164" spans="1:13" s="30" customFormat="1" ht="18.75">
      <c r="A164" s="41"/>
      <c r="B164" s="42"/>
      <c r="C164" s="34"/>
      <c r="D164" s="55"/>
      <c r="E164" s="35"/>
      <c r="F164" s="35"/>
      <c r="G164" s="36"/>
      <c r="H164" s="28"/>
      <c r="I164" s="38"/>
      <c r="J164" s="39"/>
      <c r="L164" s="40">
        <f t="shared" si="7"/>
        <v>0</v>
      </c>
      <c r="M164" s="30">
        <f t="shared" si="8"/>
        <v>0</v>
      </c>
    </row>
    <row r="165" spans="1:13" s="30" customFormat="1" ht="28.5" customHeight="1">
      <c r="A165" s="41" t="s">
        <v>185</v>
      </c>
      <c r="B165" s="49" t="s">
        <v>186</v>
      </c>
      <c r="C165" s="34" t="s">
        <v>20</v>
      </c>
      <c r="D165" s="55">
        <v>2</v>
      </c>
      <c r="E165" s="35">
        <v>53.87</v>
      </c>
      <c r="F165" s="35">
        <f>ROUND(E165*1.2288,2)</f>
        <v>66.2</v>
      </c>
      <c r="G165" s="36">
        <f>ROUND(F165*D165,2)</f>
        <v>132.4</v>
      </c>
      <c r="H165" s="53">
        <v>2</v>
      </c>
      <c r="I165" s="38" t="s">
        <v>178</v>
      </c>
      <c r="J165" s="39"/>
      <c r="L165" s="40">
        <f t="shared" si="7"/>
        <v>132.4</v>
      </c>
      <c r="M165" s="30">
        <f t="shared" si="8"/>
        <v>107.74</v>
      </c>
    </row>
    <row r="166" spans="1:13" s="30" customFormat="1" ht="64.5" customHeight="1">
      <c r="A166" s="41"/>
      <c r="B166" s="42" t="s">
        <v>187</v>
      </c>
      <c r="C166" s="34"/>
      <c r="D166" s="55"/>
      <c r="E166" s="35"/>
      <c r="F166" s="35"/>
      <c r="G166" s="36"/>
      <c r="H166" s="28"/>
      <c r="I166" s="38"/>
      <c r="J166" s="39"/>
      <c r="L166" s="40">
        <f t="shared" si="7"/>
        <v>0</v>
      </c>
      <c r="M166" s="30">
        <f t="shared" si="8"/>
        <v>0</v>
      </c>
    </row>
    <row r="167" spans="1:13" s="30" customFormat="1" ht="18.75">
      <c r="A167" s="41"/>
      <c r="B167" s="42"/>
      <c r="C167" s="34"/>
      <c r="D167" s="55"/>
      <c r="E167" s="35"/>
      <c r="F167" s="35"/>
      <c r="G167" s="36"/>
      <c r="H167" s="28"/>
      <c r="I167" s="38"/>
      <c r="J167" s="39"/>
      <c r="L167" s="40">
        <f t="shared" si="7"/>
        <v>0</v>
      </c>
      <c r="M167" s="30">
        <f t="shared" si="8"/>
        <v>0</v>
      </c>
    </row>
    <row r="168" spans="1:13" s="30" customFormat="1" ht="30.75" customHeight="1">
      <c r="A168" s="41" t="s">
        <v>188</v>
      </c>
      <c r="B168" s="49" t="s">
        <v>189</v>
      </c>
      <c r="C168" s="34" t="s">
        <v>20</v>
      </c>
      <c r="D168" s="55">
        <v>2</v>
      </c>
      <c r="E168" s="35">
        <v>43.67</v>
      </c>
      <c r="F168" s="35">
        <f>ROUND(E168*1.2288,2)</f>
        <v>53.66</v>
      </c>
      <c r="G168" s="36">
        <f>ROUND(F168*D168,2)</f>
        <v>107.32</v>
      </c>
      <c r="H168" s="53">
        <v>2</v>
      </c>
      <c r="I168" s="38" t="s">
        <v>178</v>
      </c>
      <c r="J168" s="39"/>
      <c r="L168" s="40">
        <f t="shared" si="7"/>
        <v>107.32</v>
      </c>
      <c r="M168" s="30">
        <f t="shared" si="8"/>
        <v>87.34</v>
      </c>
    </row>
    <row r="169" spans="1:13" s="30" customFormat="1" ht="63">
      <c r="A169" s="41"/>
      <c r="B169" s="42" t="s">
        <v>190</v>
      </c>
      <c r="C169" s="34"/>
      <c r="D169" s="55"/>
      <c r="E169" s="35"/>
      <c r="F169" s="35"/>
      <c r="G169" s="36"/>
      <c r="H169" s="28"/>
      <c r="I169" s="38"/>
      <c r="J169" s="39"/>
      <c r="L169" s="40">
        <f aca="true" t="shared" si="9" ref="L169:L176">D169*F169</f>
        <v>0</v>
      </c>
      <c r="M169" s="30">
        <f t="shared" si="8"/>
        <v>0</v>
      </c>
    </row>
    <row r="170" spans="1:13" s="30" customFormat="1" ht="18.75" hidden="1">
      <c r="A170" s="41"/>
      <c r="B170" s="42"/>
      <c r="C170" s="34"/>
      <c r="D170" s="55"/>
      <c r="E170" s="35"/>
      <c r="F170" s="35"/>
      <c r="G170" s="36"/>
      <c r="H170" s="28"/>
      <c r="I170" s="38"/>
      <c r="J170" s="39"/>
      <c r="L170" s="40">
        <f t="shared" si="9"/>
        <v>0</v>
      </c>
      <c r="M170" s="30">
        <f t="shared" si="8"/>
        <v>0</v>
      </c>
    </row>
    <row r="171" spans="1:13" s="30" customFormat="1" ht="18.75" hidden="1">
      <c r="A171" s="41"/>
      <c r="B171" s="42"/>
      <c r="C171" s="34"/>
      <c r="D171" s="55"/>
      <c r="E171" s="35"/>
      <c r="F171" s="35"/>
      <c r="G171" s="36"/>
      <c r="H171" s="28"/>
      <c r="I171" s="38"/>
      <c r="J171" s="39"/>
      <c r="L171" s="40">
        <f t="shared" si="9"/>
        <v>0</v>
      </c>
      <c r="M171" s="30">
        <f t="shared" si="8"/>
        <v>0</v>
      </c>
    </row>
    <row r="172" spans="1:13" s="30" customFormat="1" ht="33" customHeight="1">
      <c r="A172" s="41" t="s">
        <v>191</v>
      </c>
      <c r="B172" s="49" t="s">
        <v>192</v>
      </c>
      <c r="C172" s="34" t="s">
        <v>20</v>
      </c>
      <c r="D172" s="55">
        <v>2</v>
      </c>
      <c r="E172" s="35">
        <v>20.76</v>
      </c>
      <c r="F172" s="35">
        <f>ROUND(E172*1.2288,2)</f>
        <v>25.51</v>
      </c>
      <c r="G172" s="36">
        <f>ROUND(F172*D172,2)</f>
        <v>51.02</v>
      </c>
      <c r="H172" s="53">
        <v>2</v>
      </c>
      <c r="I172" s="38" t="s">
        <v>178</v>
      </c>
      <c r="J172" s="39"/>
      <c r="L172" s="40">
        <f t="shared" si="9"/>
        <v>51.02</v>
      </c>
      <c r="M172" s="30">
        <f t="shared" si="8"/>
        <v>41.52</v>
      </c>
    </row>
    <row r="173" spans="1:13" s="30" customFormat="1" ht="47.25">
      <c r="A173" s="41"/>
      <c r="B173" s="42" t="s">
        <v>193</v>
      </c>
      <c r="C173" s="34"/>
      <c r="D173" s="55"/>
      <c r="E173" s="35"/>
      <c r="F173" s="35"/>
      <c r="G173" s="36"/>
      <c r="H173" s="28"/>
      <c r="I173" s="38"/>
      <c r="J173" s="39"/>
      <c r="L173" s="40">
        <f t="shared" si="9"/>
        <v>0</v>
      </c>
      <c r="M173" s="30">
        <f t="shared" si="8"/>
        <v>0</v>
      </c>
    </row>
    <row r="174" spans="1:13" s="30" customFormat="1" ht="18.75">
      <c r="A174" s="41"/>
      <c r="B174" s="42"/>
      <c r="C174" s="34"/>
      <c r="D174" s="55"/>
      <c r="E174" s="35"/>
      <c r="F174" s="35"/>
      <c r="G174" s="36"/>
      <c r="H174" s="28"/>
      <c r="I174" s="38"/>
      <c r="J174" s="39"/>
      <c r="L174" s="40">
        <f t="shared" si="9"/>
        <v>0</v>
      </c>
      <c r="M174" s="30">
        <f t="shared" si="8"/>
        <v>0</v>
      </c>
    </row>
    <row r="175" spans="1:13" s="30" customFormat="1" ht="33" customHeight="1">
      <c r="A175" s="41" t="s">
        <v>194</v>
      </c>
      <c r="B175" s="49" t="s">
        <v>195</v>
      </c>
      <c r="C175" s="34" t="s">
        <v>20</v>
      </c>
      <c r="D175" s="55">
        <v>2</v>
      </c>
      <c r="E175" s="35">
        <v>136.13</v>
      </c>
      <c r="F175" s="35">
        <f>ROUND(E175*1.2288,2)</f>
        <v>167.28</v>
      </c>
      <c r="G175" s="36">
        <f>ROUND(F175*D175,2)</f>
        <v>334.56</v>
      </c>
      <c r="H175" s="53">
        <v>2</v>
      </c>
      <c r="I175" s="38" t="s">
        <v>196</v>
      </c>
      <c r="J175" s="39"/>
      <c r="L175" s="40">
        <f t="shared" si="9"/>
        <v>334.56</v>
      </c>
      <c r="M175" s="30">
        <f t="shared" si="8"/>
        <v>272.26</v>
      </c>
    </row>
    <row r="176" spans="1:13" s="30" customFormat="1" ht="63">
      <c r="A176" s="41"/>
      <c r="B176" s="42" t="s">
        <v>197</v>
      </c>
      <c r="C176" s="34"/>
      <c r="D176" s="55"/>
      <c r="E176" s="35"/>
      <c r="F176" s="35"/>
      <c r="G176" s="36"/>
      <c r="H176" s="28"/>
      <c r="I176" s="38"/>
      <c r="J176" s="39"/>
      <c r="L176" s="40">
        <f t="shared" si="9"/>
        <v>0</v>
      </c>
      <c r="M176" s="30">
        <f t="shared" si="8"/>
        <v>0</v>
      </c>
    </row>
    <row r="177" spans="1:13" s="30" customFormat="1" ht="18.75">
      <c r="A177" s="41"/>
      <c r="B177" s="49"/>
      <c r="C177" s="34"/>
      <c r="D177" s="55"/>
      <c r="E177" s="35"/>
      <c r="F177" s="35"/>
      <c r="G177" s="36"/>
      <c r="H177" s="28"/>
      <c r="I177" s="38"/>
      <c r="J177" s="39"/>
      <c r="L177" s="152">
        <f>SUM(L105:L176)</f>
        <v>11573.98</v>
      </c>
      <c r="M177" s="30">
        <f t="shared" si="8"/>
        <v>0</v>
      </c>
    </row>
    <row r="178" spans="1:13" s="30" customFormat="1" ht="18" customHeight="1">
      <c r="A178" s="69"/>
      <c r="B178" s="54"/>
      <c r="C178" s="190" t="s">
        <v>34</v>
      </c>
      <c r="D178" s="190"/>
      <c r="E178" s="190"/>
      <c r="F178" s="142"/>
      <c r="G178" s="51">
        <f>SUM(G105:G177)</f>
        <v>11573.98</v>
      </c>
      <c r="H178" s="28"/>
      <c r="I178" s="38"/>
      <c r="J178" s="39"/>
      <c r="L178" s="40"/>
      <c r="M178" s="30">
        <f t="shared" si="8"/>
        <v>0</v>
      </c>
    </row>
    <row r="179" spans="1:13" s="30" customFormat="1" ht="18.75">
      <c r="A179" s="23" t="s">
        <v>198</v>
      </c>
      <c r="B179" s="24" t="s">
        <v>199</v>
      </c>
      <c r="C179" s="25"/>
      <c r="D179" s="162"/>
      <c r="E179" s="35"/>
      <c r="F179" s="35"/>
      <c r="G179" s="36"/>
      <c r="H179" s="28"/>
      <c r="I179" s="38"/>
      <c r="J179" s="39"/>
      <c r="L179" s="40"/>
      <c r="M179" s="30">
        <f t="shared" si="8"/>
        <v>0</v>
      </c>
    </row>
    <row r="180" spans="1:13" s="30" customFormat="1" ht="18.75">
      <c r="A180" s="41" t="s">
        <v>200</v>
      </c>
      <c r="B180" s="60" t="s">
        <v>100</v>
      </c>
      <c r="C180" s="34"/>
      <c r="D180" s="55"/>
      <c r="E180" s="35"/>
      <c r="F180" s="35"/>
      <c r="G180" s="36"/>
      <c r="H180" s="28"/>
      <c r="I180" s="38"/>
      <c r="J180" s="39"/>
      <c r="L180" s="40"/>
      <c r="M180" s="30">
        <f t="shared" si="8"/>
        <v>0</v>
      </c>
    </row>
    <row r="181" spans="1:13" s="30" customFormat="1" ht="31.5">
      <c r="A181" s="41" t="s">
        <v>201</v>
      </c>
      <c r="B181" s="49" t="s">
        <v>202</v>
      </c>
      <c r="C181" s="34" t="s">
        <v>20</v>
      </c>
      <c r="D181" s="55">
        <v>10</v>
      </c>
      <c r="E181" s="35">
        <v>334.19</v>
      </c>
      <c r="F181" s="35">
        <f>ROUND(E181*1.2288,2)</f>
        <v>410.65</v>
      </c>
      <c r="G181" s="36">
        <f>ROUND(F181*D181,2)</f>
        <v>4106.5</v>
      </c>
      <c r="H181" s="53">
        <v>10</v>
      </c>
      <c r="I181" s="38" t="s">
        <v>203</v>
      </c>
      <c r="J181" s="39"/>
      <c r="L181" s="40">
        <f aca="true" t="shared" si="10" ref="L181:L198">D181*F181</f>
        <v>4106.5</v>
      </c>
      <c r="M181" s="30">
        <f t="shared" si="8"/>
        <v>3341.9</v>
      </c>
    </row>
    <row r="182" spans="1:13" s="30" customFormat="1" ht="108.75" customHeight="1">
      <c r="A182" s="41"/>
      <c r="B182" s="42" t="s">
        <v>204</v>
      </c>
      <c r="C182" s="34"/>
      <c r="D182" s="55"/>
      <c r="E182" s="35"/>
      <c r="F182" s="35"/>
      <c r="G182" s="36"/>
      <c r="H182" s="28"/>
      <c r="I182" s="38"/>
      <c r="J182" s="39"/>
      <c r="L182" s="40">
        <f t="shared" si="10"/>
        <v>0</v>
      </c>
      <c r="M182" s="30">
        <f t="shared" si="8"/>
        <v>0</v>
      </c>
    </row>
    <row r="183" spans="1:13" s="30" customFormat="1" ht="18.75" hidden="1">
      <c r="A183" s="41"/>
      <c r="B183" s="42"/>
      <c r="C183" s="34"/>
      <c r="D183" s="55"/>
      <c r="E183" s="35"/>
      <c r="F183" s="35"/>
      <c r="G183" s="36"/>
      <c r="H183" s="28"/>
      <c r="I183" s="38"/>
      <c r="J183" s="39"/>
      <c r="L183" s="40">
        <f t="shared" si="10"/>
        <v>0</v>
      </c>
      <c r="M183" s="30">
        <f t="shared" si="8"/>
        <v>0</v>
      </c>
    </row>
    <row r="184" spans="1:13" s="30" customFormat="1" ht="18.75">
      <c r="A184" s="41"/>
      <c r="B184" s="49"/>
      <c r="C184" s="34"/>
      <c r="D184" s="55"/>
      <c r="E184" s="35"/>
      <c r="F184" s="35"/>
      <c r="G184" s="36"/>
      <c r="H184" s="28"/>
      <c r="I184" s="38"/>
      <c r="J184" s="39"/>
      <c r="L184" s="40">
        <f t="shared" si="10"/>
        <v>0</v>
      </c>
      <c r="M184" s="30">
        <f t="shared" si="8"/>
        <v>0</v>
      </c>
    </row>
    <row r="185" spans="1:13" s="30" customFormat="1" ht="30.75" customHeight="1">
      <c r="A185" s="41" t="s">
        <v>205</v>
      </c>
      <c r="B185" s="60" t="s">
        <v>206</v>
      </c>
      <c r="C185" s="34"/>
      <c r="D185" s="55"/>
      <c r="E185" s="35"/>
      <c r="F185" s="35"/>
      <c r="G185" s="36"/>
      <c r="H185" s="28"/>
      <c r="I185" s="38"/>
      <c r="J185" s="39"/>
      <c r="L185" s="40">
        <f t="shared" si="10"/>
        <v>0</v>
      </c>
      <c r="M185" s="30">
        <f t="shared" si="8"/>
        <v>0</v>
      </c>
    </row>
    <row r="186" spans="1:13" s="30" customFormat="1" ht="94.5">
      <c r="A186" s="41"/>
      <c r="B186" s="42" t="s">
        <v>207</v>
      </c>
      <c r="C186" s="34"/>
      <c r="D186" s="55"/>
      <c r="E186" s="35"/>
      <c r="F186" s="35"/>
      <c r="G186" s="36"/>
      <c r="H186" s="28"/>
      <c r="I186" s="38"/>
      <c r="J186" s="39"/>
      <c r="L186" s="40">
        <f t="shared" si="10"/>
        <v>0</v>
      </c>
      <c r="M186" s="30">
        <f t="shared" si="8"/>
        <v>0</v>
      </c>
    </row>
    <row r="187" spans="1:13" s="30" customFormat="1" ht="18.75">
      <c r="A187" s="41"/>
      <c r="B187" s="60"/>
      <c r="C187" s="34"/>
      <c r="D187" s="55"/>
      <c r="E187" s="35"/>
      <c r="F187" s="35"/>
      <c r="G187" s="36"/>
      <c r="H187" s="28"/>
      <c r="I187" s="38"/>
      <c r="J187" s="39"/>
      <c r="L187" s="40">
        <f t="shared" si="10"/>
        <v>0</v>
      </c>
      <c r="M187" s="30">
        <f t="shared" si="8"/>
        <v>0</v>
      </c>
    </row>
    <row r="188" spans="1:13" s="30" customFormat="1" ht="31.5">
      <c r="A188" s="41" t="s">
        <v>208</v>
      </c>
      <c r="B188" s="49" t="s">
        <v>209</v>
      </c>
      <c r="C188" s="34" t="s">
        <v>86</v>
      </c>
      <c r="D188" s="55">
        <v>50</v>
      </c>
      <c r="E188" s="35">
        <v>20.48</v>
      </c>
      <c r="F188" s="35">
        <f>ROUND(E188*1.2288,2)</f>
        <v>25.17</v>
      </c>
      <c r="G188" s="36">
        <f>ROUND(F188*D188,2)</f>
        <v>1258.5</v>
      </c>
      <c r="H188" s="53">
        <v>50</v>
      </c>
      <c r="I188" s="38" t="s">
        <v>210</v>
      </c>
      <c r="J188" s="39"/>
      <c r="L188" s="40">
        <f t="shared" si="10"/>
        <v>1258.5</v>
      </c>
      <c r="M188" s="30">
        <f t="shared" si="8"/>
        <v>1024</v>
      </c>
    </row>
    <row r="189" spans="1:13" s="30" customFormat="1" ht="18.75">
      <c r="A189" s="41"/>
      <c r="B189" s="42"/>
      <c r="C189" s="34"/>
      <c r="D189" s="55"/>
      <c r="E189" s="35"/>
      <c r="F189" s="35"/>
      <c r="G189" s="36"/>
      <c r="H189"/>
      <c r="I189" s="38"/>
      <c r="J189" s="39"/>
      <c r="L189" s="40">
        <f t="shared" si="10"/>
        <v>0</v>
      </c>
      <c r="M189" s="30">
        <f t="shared" si="8"/>
        <v>0</v>
      </c>
    </row>
    <row r="190" spans="1:13" s="30" customFormat="1" ht="18.75" hidden="1">
      <c r="A190" s="41"/>
      <c r="B190" s="42"/>
      <c r="C190" s="34"/>
      <c r="D190" s="55"/>
      <c r="E190" s="35"/>
      <c r="F190" s="35"/>
      <c r="G190" s="36"/>
      <c r="H190" s="28"/>
      <c r="I190" s="38"/>
      <c r="J190" s="39"/>
      <c r="L190" s="40">
        <f t="shared" si="10"/>
        <v>0</v>
      </c>
      <c r="M190" s="30">
        <f t="shared" si="8"/>
        <v>0</v>
      </c>
    </row>
    <row r="191" spans="1:13" s="30" customFormat="1" ht="31.5">
      <c r="A191" s="41" t="s">
        <v>211</v>
      </c>
      <c r="B191" s="49" t="s">
        <v>212</v>
      </c>
      <c r="C191" s="34" t="s">
        <v>86</v>
      </c>
      <c r="D191" s="55">
        <v>100</v>
      </c>
      <c r="E191" s="35">
        <v>42.17</v>
      </c>
      <c r="F191" s="35">
        <f>ROUND(E191*1.2288,2)</f>
        <v>51.82</v>
      </c>
      <c r="G191" s="36">
        <f>ROUND(F191*D191,2)</f>
        <v>5182</v>
      </c>
      <c r="H191" s="53">
        <v>100</v>
      </c>
      <c r="I191" s="38" t="s">
        <v>213</v>
      </c>
      <c r="J191" s="39"/>
      <c r="L191" s="40">
        <f t="shared" si="10"/>
        <v>5182</v>
      </c>
      <c r="M191" s="30">
        <f t="shared" si="8"/>
        <v>4217</v>
      </c>
    </row>
    <row r="192" spans="1:13" s="30" customFormat="1" ht="18.75">
      <c r="A192" s="41"/>
      <c r="B192" s="49"/>
      <c r="C192" s="34"/>
      <c r="D192" s="55"/>
      <c r="E192" s="35"/>
      <c r="F192" s="35"/>
      <c r="G192" s="36"/>
      <c r="H192" s="28"/>
      <c r="I192" s="38"/>
      <c r="J192" s="39"/>
      <c r="L192" s="40">
        <f t="shared" si="10"/>
        <v>0</v>
      </c>
      <c r="M192" s="30">
        <f t="shared" si="8"/>
        <v>0</v>
      </c>
    </row>
    <row r="193" spans="1:13" s="30" customFormat="1" ht="31.5">
      <c r="A193" s="41" t="s">
        <v>214</v>
      </c>
      <c r="B193" s="49" t="s">
        <v>215</v>
      </c>
      <c r="C193" s="34" t="s">
        <v>86</v>
      </c>
      <c r="D193" s="55">
        <v>25</v>
      </c>
      <c r="E193" s="35">
        <v>71.3</v>
      </c>
      <c r="F193" s="35">
        <f>ROUND(E193*1.2288,2)</f>
        <v>87.61</v>
      </c>
      <c r="G193" s="36">
        <f>ROUND(F193*D193,2)</f>
        <v>2190.25</v>
      </c>
      <c r="H193" s="53">
        <v>25</v>
      </c>
      <c r="I193" s="38" t="s">
        <v>216</v>
      </c>
      <c r="J193" s="39"/>
      <c r="L193" s="40">
        <f t="shared" si="10"/>
        <v>2190.25</v>
      </c>
      <c r="M193" s="30">
        <f t="shared" si="8"/>
        <v>1782.5</v>
      </c>
    </row>
    <row r="194" spans="1:13" s="30" customFormat="1" ht="18.75" hidden="1">
      <c r="A194" s="41"/>
      <c r="B194" s="42"/>
      <c r="C194" s="34"/>
      <c r="D194" s="55"/>
      <c r="E194" s="35"/>
      <c r="F194" s="35"/>
      <c r="G194" s="36"/>
      <c r="H194" s="28"/>
      <c r="I194" s="38"/>
      <c r="J194" s="39"/>
      <c r="L194" s="40">
        <f t="shared" si="10"/>
        <v>0</v>
      </c>
      <c r="M194" s="30">
        <f t="shared" si="8"/>
        <v>0</v>
      </c>
    </row>
    <row r="195" spans="1:13" s="30" customFormat="1" ht="18.75">
      <c r="A195" s="41" t="s">
        <v>217</v>
      </c>
      <c r="B195" s="60" t="s">
        <v>218</v>
      </c>
      <c r="C195" s="34"/>
      <c r="D195" s="55"/>
      <c r="E195" s="35"/>
      <c r="F195" s="35"/>
      <c r="G195" s="36"/>
      <c r="H195" s="28"/>
      <c r="I195" s="38"/>
      <c r="J195" s="39"/>
      <c r="L195" s="40">
        <f t="shared" si="10"/>
        <v>0</v>
      </c>
      <c r="M195" s="30">
        <f t="shared" si="8"/>
        <v>0</v>
      </c>
    </row>
    <row r="196" spans="1:13" s="30" customFormat="1" ht="18.75" hidden="1">
      <c r="A196" s="41"/>
      <c r="B196" s="42"/>
      <c r="C196" s="34"/>
      <c r="D196" s="55"/>
      <c r="E196" s="35"/>
      <c r="F196" s="77"/>
      <c r="G196" s="57"/>
      <c r="H196" s="28"/>
      <c r="I196" s="38"/>
      <c r="J196" s="39"/>
      <c r="L196" s="40">
        <f t="shared" si="10"/>
        <v>0</v>
      </c>
      <c r="M196" s="30">
        <f t="shared" si="8"/>
        <v>0</v>
      </c>
    </row>
    <row r="197" spans="1:13" s="30" customFormat="1" ht="18.75">
      <c r="A197" s="41" t="s">
        <v>219</v>
      </c>
      <c r="B197" s="60" t="s">
        <v>220</v>
      </c>
      <c r="C197" s="34"/>
      <c r="D197" s="55"/>
      <c r="E197" s="35"/>
      <c r="F197" s="35"/>
      <c r="G197" s="36"/>
      <c r="H197" s="28"/>
      <c r="I197" s="38"/>
      <c r="J197" s="39"/>
      <c r="L197" s="40">
        <f t="shared" si="10"/>
        <v>0</v>
      </c>
      <c r="M197" s="30">
        <f t="shared" si="8"/>
        <v>0</v>
      </c>
    </row>
    <row r="198" spans="1:13" s="30" customFormat="1" ht="33" customHeight="1">
      <c r="A198" s="41" t="s">
        <v>221</v>
      </c>
      <c r="B198" s="49" t="s">
        <v>222</v>
      </c>
      <c r="C198" s="34" t="s">
        <v>20</v>
      </c>
      <c r="D198" s="55">
        <v>2</v>
      </c>
      <c r="E198" s="35">
        <v>57.74</v>
      </c>
      <c r="F198" s="35">
        <f>ROUND(E198*1.2288,2)</f>
        <v>70.95</v>
      </c>
      <c r="G198" s="36">
        <f>ROUND(F198*D198,2)</f>
        <v>141.9</v>
      </c>
      <c r="H198" s="53">
        <v>2</v>
      </c>
      <c r="I198" s="38" t="s">
        <v>196</v>
      </c>
      <c r="J198" s="39"/>
      <c r="L198" s="40">
        <f t="shared" si="10"/>
        <v>141.9</v>
      </c>
      <c r="M198" s="30">
        <f t="shared" si="8"/>
        <v>115.48</v>
      </c>
    </row>
    <row r="199" spans="1:13" s="30" customFormat="1" ht="63" customHeight="1">
      <c r="A199" s="41"/>
      <c r="B199" s="42" t="s">
        <v>223</v>
      </c>
      <c r="C199" s="34"/>
      <c r="D199" s="55"/>
      <c r="E199" s="35"/>
      <c r="F199" s="35"/>
      <c r="G199" s="36"/>
      <c r="H199" s="28"/>
      <c r="I199" s="38"/>
      <c r="J199" s="39"/>
      <c r="L199" s="40"/>
      <c r="M199" s="30">
        <f t="shared" si="8"/>
        <v>0</v>
      </c>
    </row>
    <row r="200" spans="1:13" s="30" customFormat="1" ht="18" customHeight="1">
      <c r="A200" s="62"/>
      <c r="B200" s="64"/>
      <c r="C200" s="190" t="s">
        <v>34</v>
      </c>
      <c r="D200" s="190"/>
      <c r="E200" s="190"/>
      <c r="F200" s="142"/>
      <c r="G200" s="51">
        <f>SUM(G180:G199)</f>
        <v>12879.15</v>
      </c>
      <c r="H200" s="28"/>
      <c r="I200" s="38"/>
      <c r="J200" s="39"/>
      <c r="L200" s="152">
        <f>SUM(L181:L199)</f>
        <v>12879.15</v>
      </c>
      <c r="M200" s="30">
        <f t="shared" si="8"/>
        <v>0</v>
      </c>
    </row>
    <row r="201" spans="1:13" s="30" customFormat="1" ht="18.75">
      <c r="A201" s="23">
        <v>100000</v>
      </c>
      <c r="B201" s="24" t="s">
        <v>224</v>
      </c>
      <c r="C201" s="25"/>
      <c r="D201" s="162"/>
      <c r="E201" s="35"/>
      <c r="F201" s="35"/>
      <c r="G201" s="36"/>
      <c r="H201" s="28"/>
      <c r="I201" s="38"/>
      <c r="J201" s="39"/>
      <c r="L201" s="40"/>
      <c r="M201" s="30">
        <f t="shared" si="8"/>
        <v>0</v>
      </c>
    </row>
    <row r="202" spans="1:13" s="30" customFormat="1" ht="18.75">
      <c r="A202" s="41" t="s">
        <v>225</v>
      </c>
      <c r="B202" s="60" t="s">
        <v>226</v>
      </c>
      <c r="C202" s="34"/>
      <c r="D202" s="55"/>
      <c r="E202" s="35"/>
      <c r="F202" s="35"/>
      <c r="G202" s="36"/>
      <c r="H202" s="28"/>
      <c r="I202" s="38"/>
      <c r="J202" s="39"/>
      <c r="L202" s="40"/>
      <c r="M202" s="30">
        <f t="shared" si="8"/>
        <v>0</v>
      </c>
    </row>
    <row r="203" spans="1:13" s="30" customFormat="1" ht="18.75" hidden="1">
      <c r="A203" s="41"/>
      <c r="B203" s="49"/>
      <c r="C203" s="34"/>
      <c r="D203" s="55"/>
      <c r="E203" s="35"/>
      <c r="F203" s="35"/>
      <c r="G203" s="36"/>
      <c r="H203" s="28"/>
      <c r="I203" s="38"/>
      <c r="J203" s="39"/>
      <c r="L203" s="40"/>
      <c r="M203" s="30">
        <f t="shared" si="8"/>
        <v>0</v>
      </c>
    </row>
    <row r="204" spans="1:13" s="30" customFormat="1" ht="36.75" customHeight="1">
      <c r="A204" s="41" t="s">
        <v>227</v>
      </c>
      <c r="B204" s="60" t="s">
        <v>228</v>
      </c>
      <c r="C204" s="34"/>
      <c r="D204" s="55"/>
      <c r="E204" s="35"/>
      <c r="F204" s="35"/>
      <c r="G204" s="36"/>
      <c r="H204" s="28"/>
      <c r="I204" s="38"/>
      <c r="J204" s="39"/>
      <c r="L204" s="40"/>
      <c r="M204" s="30">
        <f t="shared" si="8"/>
        <v>0</v>
      </c>
    </row>
    <row r="205" spans="1:13" s="30" customFormat="1" ht="78.75">
      <c r="A205" s="41"/>
      <c r="B205" s="42" t="s">
        <v>229</v>
      </c>
      <c r="C205" s="34"/>
      <c r="D205" s="55"/>
      <c r="E205" s="35"/>
      <c r="F205" s="35"/>
      <c r="G205" s="36"/>
      <c r="H205" s="28"/>
      <c r="I205" s="38"/>
      <c r="J205" s="39"/>
      <c r="L205" s="40"/>
      <c r="M205" s="30">
        <f t="shared" si="8"/>
        <v>0</v>
      </c>
    </row>
    <row r="206" spans="1:13" s="30" customFormat="1" ht="18.75" hidden="1">
      <c r="A206" s="41"/>
      <c r="B206" s="60"/>
      <c r="C206" s="34"/>
      <c r="D206" s="55"/>
      <c r="E206" s="35"/>
      <c r="F206" s="35"/>
      <c r="G206" s="36"/>
      <c r="H206" s="28"/>
      <c r="I206" s="38"/>
      <c r="J206" s="39"/>
      <c r="L206" s="40"/>
      <c r="M206" s="30">
        <f aca="true" t="shared" si="11" ref="M206:M269">D206*E206</f>
        <v>0</v>
      </c>
    </row>
    <row r="207" spans="1:13" s="30" customFormat="1" ht="18.75" hidden="1">
      <c r="A207" s="41"/>
      <c r="B207" s="70"/>
      <c r="C207" s="34"/>
      <c r="D207" s="55"/>
      <c r="E207" s="35"/>
      <c r="F207" s="35"/>
      <c r="G207" s="36"/>
      <c r="H207" s="28"/>
      <c r="I207" s="38"/>
      <c r="J207" s="39"/>
      <c r="L207" s="40"/>
      <c r="M207" s="30">
        <f t="shared" si="11"/>
        <v>0</v>
      </c>
    </row>
    <row r="208" spans="1:13" s="30" customFormat="1" ht="56.25" customHeight="1">
      <c r="A208" s="41" t="s">
        <v>230</v>
      </c>
      <c r="B208" s="45" t="s">
        <v>231</v>
      </c>
      <c r="C208" s="34" t="s">
        <v>20</v>
      </c>
      <c r="D208" s="55">
        <v>3</v>
      </c>
      <c r="E208" s="35">
        <v>137.23</v>
      </c>
      <c r="F208" s="35">
        <f>ROUND(E208*1.2288,2)</f>
        <v>168.63</v>
      </c>
      <c r="G208" s="36">
        <f>ROUND(F208*D208,2)</f>
        <v>505.89</v>
      </c>
      <c r="H208" s="28">
        <v>3</v>
      </c>
      <c r="I208" s="38" t="s">
        <v>232</v>
      </c>
      <c r="J208" s="39"/>
      <c r="L208" s="40">
        <f aca="true" t="shared" si="12" ref="L208:L271">D208*F208</f>
        <v>505.89</v>
      </c>
      <c r="M208" s="30">
        <f t="shared" si="11"/>
        <v>411.68999999999994</v>
      </c>
    </row>
    <row r="209" spans="1:13" s="30" customFormat="1" ht="18.75" hidden="1">
      <c r="A209" s="41"/>
      <c r="B209" s="70"/>
      <c r="C209" s="34"/>
      <c r="D209" s="55"/>
      <c r="E209" s="35"/>
      <c r="F209" s="35"/>
      <c r="G209" s="36"/>
      <c r="H209" s="37"/>
      <c r="I209" s="38"/>
      <c r="J209" s="39"/>
      <c r="L209" s="40">
        <f t="shared" si="12"/>
        <v>0</v>
      </c>
      <c r="M209" s="30">
        <f t="shared" si="11"/>
        <v>0</v>
      </c>
    </row>
    <row r="210" spans="1:13" s="30" customFormat="1" ht="18.75" hidden="1">
      <c r="A210" s="41"/>
      <c r="B210" s="42"/>
      <c r="C210" s="34"/>
      <c r="D210" s="55"/>
      <c r="E210" s="35"/>
      <c r="F210" s="35"/>
      <c r="G210" s="36"/>
      <c r="H210" s="28"/>
      <c r="I210" s="38"/>
      <c r="J210" s="39"/>
      <c r="L210" s="40">
        <f t="shared" si="12"/>
        <v>0</v>
      </c>
      <c r="M210" s="30">
        <f t="shared" si="11"/>
        <v>0</v>
      </c>
    </row>
    <row r="211" spans="1:13" s="30" customFormat="1" ht="18.75">
      <c r="A211" s="41" t="s">
        <v>233</v>
      </c>
      <c r="B211" s="60" t="s">
        <v>234</v>
      </c>
      <c r="C211" s="34"/>
      <c r="D211" s="55"/>
      <c r="E211" s="35"/>
      <c r="F211" s="35"/>
      <c r="G211" s="36"/>
      <c r="H211" s="28"/>
      <c r="I211" s="38"/>
      <c r="J211" s="39"/>
      <c r="L211" s="40">
        <f t="shared" si="12"/>
        <v>0</v>
      </c>
      <c r="M211" s="30">
        <f t="shared" si="11"/>
        <v>0</v>
      </c>
    </row>
    <row r="212" spans="1:13" s="30" customFormat="1" ht="47.25">
      <c r="A212" s="41" t="s">
        <v>235</v>
      </c>
      <c r="B212" s="49" t="s">
        <v>236</v>
      </c>
      <c r="C212" s="34" t="s">
        <v>20</v>
      </c>
      <c r="D212" s="55">
        <v>7</v>
      </c>
      <c r="E212" s="35">
        <v>24.1</v>
      </c>
      <c r="F212" s="35">
        <f>ROUND(E212*1.2288,2)</f>
        <v>29.61</v>
      </c>
      <c r="G212" s="36">
        <f>ROUND(F212*D212,2)</f>
        <v>207.27</v>
      </c>
      <c r="H212" s="53">
        <v>7</v>
      </c>
      <c r="I212" s="38" t="s">
        <v>237</v>
      </c>
      <c r="J212" s="39"/>
      <c r="L212" s="40">
        <f t="shared" si="12"/>
        <v>207.26999999999998</v>
      </c>
      <c r="M212" s="30">
        <f t="shared" si="11"/>
        <v>168.70000000000002</v>
      </c>
    </row>
    <row r="213" spans="1:13" s="30" customFormat="1" ht="63">
      <c r="A213" s="41"/>
      <c r="B213" s="42" t="s">
        <v>238</v>
      </c>
      <c r="C213" s="34"/>
      <c r="D213" s="55"/>
      <c r="E213" s="35"/>
      <c r="F213" s="35"/>
      <c r="G213" s="36"/>
      <c r="H213" s="28"/>
      <c r="I213" s="38"/>
      <c r="J213" s="39"/>
      <c r="L213" s="40">
        <f t="shared" si="12"/>
        <v>0</v>
      </c>
      <c r="M213" s="30">
        <f t="shared" si="11"/>
        <v>0</v>
      </c>
    </row>
    <row r="214" spans="1:13" s="30" customFormat="1" ht="18.75">
      <c r="A214" s="41"/>
      <c r="B214" s="42"/>
      <c r="C214" s="34"/>
      <c r="D214" s="55"/>
      <c r="E214" s="35"/>
      <c r="F214" s="35"/>
      <c r="G214" s="36"/>
      <c r="H214" s="28"/>
      <c r="I214" s="38"/>
      <c r="J214" s="39"/>
      <c r="L214" s="40">
        <f t="shared" si="12"/>
        <v>0</v>
      </c>
      <c r="M214" s="30">
        <f t="shared" si="11"/>
        <v>0</v>
      </c>
    </row>
    <row r="215" spans="1:13" s="30" customFormat="1" ht="18.75">
      <c r="A215" s="41"/>
      <c r="B215" s="42"/>
      <c r="C215" s="34"/>
      <c r="D215" s="55"/>
      <c r="E215" s="35"/>
      <c r="F215" s="35"/>
      <c r="G215" s="36"/>
      <c r="H215" s="28"/>
      <c r="I215" s="38"/>
      <c r="J215" s="39"/>
      <c r="L215" s="40">
        <f t="shared" si="12"/>
        <v>0</v>
      </c>
      <c r="M215" s="30">
        <f t="shared" si="11"/>
        <v>0</v>
      </c>
    </row>
    <row r="216" spans="1:13" s="30" customFormat="1" ht="31.5">
      <c r="A216" s="41" t="s">
        <v>239</v>
      </c>
      <c r="B216" s="49" t="s">
        <v>240</v>
      </c>
      <c r="C216" s="34" t="s">
        <v>20</v>
      </c>
      <c r="D216" s="55">
        <v>4</v>
      </c>
      <c r="E216" s="35">
        <v>14.2</v>
      </c>
      <c r="F216" s="35">
        <f>ROUND(E216*1.2288,2)</f>
        <v>17.45</v>
      </c>
      <c r="G216" s="36">
        <f>ROUND(F216*D216,2)</f>
        <v>69.8</v>
      </c>
      <c r="H216" s="53">
        <v>4</v>
      </c>
      <c r="I216" s="38" t="s">
        <v>241</v>
      </c>
      <c r="J216" s="39"/>
      <c r="L216" s="40">
        <f t="shared" si="12"/>
        <v>69.8</v>
      </c>
      <c r="M216" s="30">
        <f t="shared" si="11"/>
        <v>56.8</v>
      </c>
    </row>
    <row r="217" spans="1:13" s="30" customFormat="1" ht="63">
      <c r="A217" s="41"/>
      <c r="B217" s="42" t="s">
        <v>242</v>
      </c>
      <c r="C217" s="34"/>
      <c r="D217" s="55"/>
      <c r="E217" s="35"/>
      <c r="F217" s="35"/>
      <c r="G217" s="36"/>
      <c r="H217" s="28"/>
      <c r="I217" s="38"/>
      <c r="J217" s="39"/>
      <c r="L217" s="40">
        <f t="shared" si="12"/>
        <v>0</v>
      </c>
      <c r="M217" s="30">
        <f t="shared" si="11"/>
        <v>0</v>
      </c>
    </row>
    <row r="218" spans="1:13" s="30" customFormat="1" ht="18.75">
      <c r="A218" s="41"/>
      <c r="B218" s="42"/>
      <c r="C218" s="34"/>
      <c r="D218" s="55"/>
      <c r="E218" s="35"/>
      <c r="F218" s="35"/>
      <c r="G218" s="36"/>
      <c r="H218" s="28"/>
      <c r="I218" s="38"/>
      <c r="J218" s="39"/>
      <c r="L218" s="40">
        <f t="shared" si="12"/>
        <v>0</v>
      </c>
      <c r="M218" s="30">
        <f t="shared" si="11"/>
        <v>0</v>
      </c>
    </row>
    <row r="219" spans="1:13" s="30" customFormat="1" ht="18.75">
      <c r="A219" s="41"/>
      <c r="B219" s="42"/>
      <c r="C219" s="34"/>
      <c r="D219" s="55"/>
      <c r="E219" s="35"/>
      <c r="F219" s="35"/>
      <c r="G219" s="36"/>
      <c r="H219" s="28"/>
      <c r="I219" s="38"/>
      <c r="J219" s="39"/>
      <c r="L219" s="40">
        <f t="shared" si="12"/>
        <v>0</v>
      </c>
      <c r="M219" s="30">
        <f t="shared" si="11"/>
        <v>0</v>
      </c>
    </row>
    <row r="220" spans="1:13" s="30" customFormat="1" ht="18.75">
      <c r="A220" s="41" t="s">
        <v>243</v>
      </c>
      <c r="B220" s="60" t="s">
        <v>244</v>
      </c>
      <c r="C220" s="34"/>
      <c r="D220" s="55"/>
      <c r="E220" s="35"/>
      <c r="F220" s="35"/>
      <c r="G220" s="36"/>
      <c r="H220" s="28"/>
      <c r="I220" s="38"/>
      <c r="J220" s="39"/>
      <c r="L220" s="40">
        <f t="shared" si="12"/>
        <v>0</v>
      </c>
      <c r="M220" s="30">
        <f t="shared" si="11"/>
        <v>0</v>
      </c>
    </row>
    <row r="221" spans="1:13" s="30" customFormat="1" ht="94.5">
      <c r="A221" s="41"/>
      <c r="B221" s="42" t="s">
        <v>245</v>
      </c>
      <c r="C221" s="34"/>
      <c r="D221" s="55"/>
      <c r="E221" s="35"/>
      <c r="F221" s="35"/>
      <c r="G221" s="36"/>
      <c r="H221" s="28"/>
      <c r="I221" s="38"/>
      <c r="J221" s="39"/>
      <c r="L221" s="40">
        <f t="shared" si="12"/>
        <v>0</v>
      </c>
      <c r="M221" s="30">
        <f t="shared" si="11"/>
        <v>0</v>
      </c>
    </row>
    <row r="222" spans="1:13" s="30" customFormat="1" ht="18.75">
      <c r="A222" s="41"/>
      <c r="B222" s="60"/>
      <c r="C222" s="34"/>
      <c r="D222" s="55"/>
      <c r="E222" s="35"/>
      <c r="F222" s="35"/>
      <c r="G222" s="36"/>
      <c r="H222" s="28"/>
      <c r="I222" s="38"/>
      <c r="J222" s="39"/>
      <c r="L222" s="40">
        <f t="shared" si="12"/>
        <v>0</v>
      </c>
      <c r="M222" s="30">
        <f t="shared" si="11"/>
        <v>0</v>
      </c>
    </row>
    <row r="223" spans="1:13" s="30" customFormat="1" ht="18.75">
      <c r="A223" s="41" t="s">
        <v>246</v>
      </c>
      <c r="B223" s="49" t="s">
        <v>247</v>
      </c>
      <c r="C223" s="34" t="s">
        <v>20</v>
      </c>
      <c r="D223" s="55">
        <v>4</v>
      </c>
      <c r="E223" s="35">
        <v>18.84</v>
      </c>
      <c r="F223" s="35">
        <f>ROUND(E223*1.2288,2)</f>
        <v>23.15</v>
      </c>
      <c r="G223" s="36">
        <f>ROUND(F223*D223,2)</f>
        <v>92.6</v>
      </c>
      <c r="H223" s="53">
        <v>4</v>
      </c>
      <c r="I223" s="38" t="s">
        <v>248</v>
      </c>
      <c r="J223" s="39"/>
      <c r="L223" s="40">
        <f t="shared" si="12"/>
        <v>92.6</v>
      </c>
      <c r="M223" s="30">
        <f t="shared" si="11"/>
        <v>75.36</v>
      </c>
    </row>
    <row r="224" spans="1:13" s="30" customFormat="1" ht="18.75">
      <c r="A224" s="41"/>
      <c r="B224" s="42"/>
      <c r="C224" s="34"/>
      <c r="D224" s="55"/>
      <c r="E224" s="35"/>
      <c r="F224" s="35"/>
      <c r="G224" s="36"/>
      <c r="H224" s="28"/>
      <c r="I224" s="38"/>
      <c r="J224" s="39"/>
      <c r="L224" s="40">
        <f t="shared" si="12"/>
        <v>0</v>
      </c>
      <c r="M224" s="30">
        <f t="shared" si="11"/>
        <v>0</v>
      </c>
    </row>
    <row r="225" spans="1:13" s="30" customFormat="1" ht="18.75">
      <c r="A225" s="41"/>
      <c r="B225" s="42"/>
      <c r="C225" s="34"/>
      <c r="D225" s="55"/>
      <c r="E225" s="35"/>
      <c r="F225" s="35"/>
      <c r="G225" s="36"/>
      <c r="H225" s="28"/>
      <c r="I225" s="38"/>
      <c r="J225" s="39"/>
      <c r="L225" s="40">
        <f t="shared" si="12"/>
        <v>0</v>
      </c>
      <c r="M225" s="30">
        <f t="shared" si="11"/>
        <v>0</v>
      </c>
    </row>
    <row r="226" spans="1:13" s="30" customFormat="1" ht="18.75">
      <c r="A226" s="41" t="s">
        <v>249</v>
      </c>
      <c r="B226" s="49" t="s">
        <v>250</v>
      </c>
      <c r="C226" s="34" t="s">
        <v>20</v>
      </c>
      <c r="D226" s="55">
        <v>4</v>
      </c>
      <c r="E226" s="35">
        <v>44.6</v>
      </c>
      <c r="F226" s="35">
        <f>ROUND(E226*1.2288,2)</f>
        <v>54.8</v>
      </c>
      <c r="G226" s="36">
        <f>ROUND(F226*D226,2)</f>
        <v>219.2</v>
      </c>
      <c r="H226" s="53">
        <v>4</v>
      </c>
      <c r="I226" s="38" t="s">
        <v>248</v>
      </c>
      <c r="J226" s="39"/>
      <c r="L226" s="40">
        <f t="shared" si="12"/>
        <v>219.2</v>
      </c>
      <c r="M226" s="30">
        <f t="shared" si="11"/>
        <v>178.4</v>
      </c>
    </row>
    <row r="227" spans="1:13" s="30" customFormat="1" ht="18.75">
      <c r="A227" s="41"/>
      <c r="B227" s="42"/>
      <c r="C227" s="34"/>
      <c r="D227" s="55"/>
      <c r="E227" s="35"/>
      <c r="F227" s="35"/>
      <c r="G227" s="36"/>
      <c r="H227" s="28"/>
      <c r="I227" s="38"/>
      <c r="J227" s="39"/>
      <c r="L227" s="40">
        <f t="shared" si="12"/>
        <v>0</v>
      </c>
      <c r="M227" s="30">
        <f t="shared" si="11"/>
        <v>0</v>
      </c>
    </row>
    <row r="228" spans="1:13" s="30" customFormat="1" ht="18.75">
      <c r="A228" s="41"/>
      <c r="B228" s="42"/>
      <c r="C228" s="34"/>
      <c r="D228" s="55"/>
      <c r="E228" s="35"/>
      <c r="F228" s="35"/>
      <c r="G228" s="36"/>
      <c r="H228" s="28"/>
      <c r="I228" s="38"/>
      <c r="J228" s="39"/>
      <c r="L228" s="40">
        <f t="shared" si="12"/>
        <v>0</v>
      </c>
      <c r="M228" s="30">
        <f t="shared" si="11"/>
        <v>0</v>
      </c>
    </row>
    <row r="229" spans="1:13" s="30" customFormat="1" ht="18.75">
      <c r="A229" s="41"/>
      <c r="B229" s="42"/>
      <c r="C229" s="34"/>
      <c r="D229" s="55"/>
      <c r="E229" s="35"/>
      <c r="F229" s="35"/>
      <c r="G229" s="36"/>
      <c r="H229" s="28"/>
      <c r="I229" s="38"/>
      <c r="J229" s="39"/>
      <c r="L229" s="40">
        <f t="shared" si="12"/>
        <v>0</v>
      </c>
      <c r="M229" s="30">
        <f t="shared" si="11"/>
        <v>0</v>
      </c>
    </row>
    <row r="230" spans="1:13" s="30" customFormat="1" ht="31.5">
      <c r="A230" s="71" t="s">
        <v>251</v>
      </c>
      <c r="B230" s="45" t="s">
        <v>252</v>
      </c>
      <c r="C230" s="72" t="s">
        <v>20</v>
      </c>
      <c r="D230" s="55">
        <v>1</v>
      </c>
      <c r="E230" s="35">
        <v>106.47</v>
      </c>
      <c r="F230" s="35">
        <f>ROUND(E230*1.2288,2)</f>
        <v>130.83</v>
      </c>
      <c r="G230" s="36">
        <f>ROUND(F230*D230,2)</f>
        <v>130.83</v>
      </c>
      <c r="H230" s="53">
        <v>1</v>
      </c>
      <c r="I230" s="38" t="s">
        <v>248</v>
      </c>
      <c r="J230" s="39"/>
      <c r="L230" s="40">
        <f t="shared" si="12"/>
        <v>130.83</v>
      </c>
      <c r="M230" s="30">
        <f t="shared" si="11"/>
        <v>106.47</v>
      </c>
    </row>
    <row r="231" spans="1:13" s="30" customFormat="1" ht="18.75">
      <c r="A231" s="71"/>
      <c r="B231" s="73"/>
      <c r="C231" s="72"/>
      <c r="D231" s="55"/>
      <c r="E231" s="35"/>
      <c r="F231" s="35"/>
      <c r="G231" s="36"/>
      <c r="H231" s="28"/>
      <c r="I231" s="38"/>
      <c r="J231" s="39"/>
      <c r="L231" s="40">
        <f t="shared" si="12"/>
        <v>0</v>
      </c>
      <c r="M231" s="30">
        <f t="shared" si="11"/>
        <v>0</v>
      </c>
    </row>
    <row r="232" spans="1:13" s="30" customFormat="1" ht="18.75">
      <c r="A232" s="71"/>
      <c r="B232" s="70"/>
      <c r="C232" s="72"/>
      <c r="D232" s="55"/>
      <c r="E232" s="35"/>
      <c r="F232" s="35"/>
      <c r="G232" s="36"/>
      <c r="H232" s="28"/>
      <c r="I232" s="38"/>
      <c r="J232" s="39"/>
      <c r="L232" s="40">
        <f t="shared" si="12"/>
        <v>0</v>
      </c>
      <c r="M232" s="30">
        <f t="shared" si="11"/>
        <v>0</v>
      </c>
    </row>
    <row r="233" spans="1:13" s="30" customFormat="1" ht="18.75">
      <c r="A233" s="41"/>
      <c r="B233" s="42"/>
      <c r="C233" s="34"/>
      <c r="D233" s="55"/>
      <c r="E233" s="35"/>
      <c r="F233" s="35"/>
      <c r="G233" s="36"/>
      <c r="H233" s="28"/>
      <c r="I233" s="38"/>
      <c r="J233" s="39"/>
      <c r="L233" s="40">
        <f t="shared" si="12"/>
        <v>0</v>
      </c>
      <c r="M233" s="30">
        <f t="shared" si="11"/>
        <v>0</v>
      </c>
    </row>
    <row r="234" spans="1:13" s="30" customFormat="1" ht="18.75">
      <c r="A234" s="41" t="s">
        <v>253</v>
      </c>
      <c r="B234" s="60" t="s">
        <v>254</v>
      </c>
      <c r="C234" s="34"/>
      <c r="D234" s="55"/>
      <c r="E234" s="35"/>
      <c r="F234" s="35"/>
      <c r="G234" s="36"/>
      <c r="H234" s="28"/>
      <c r="I234" s="38"/>
      <c r="J234" s="39"/>
      <c r="L234" s="40">
        <f t="shared" si="12"/>
        <v>0</v>
      </c>
      <c r="M234" s="30">
        <f t="shared" si="11"/>
        <v>0</v>
      </c>
    </row>
    <row r="235" spans="1:13" s="30" customFormat="1" ht="78.75">
      <c r="A235" s="41"/>
      <c r="B235" s="42" t="s">
        <v>255</v>
      </c>
      <c r="C235" s="34"/>
      <c r="D235" s="55"/>
      <c r="E235" s="35"/>
      <c r="F235" s="35"/>
      <c r="G235" s="36"/>
      <c r="H235" s="28"/>
      <c r="I235" s="38"/>
      <c r="J235" s="39"/>
      <c r="L235" s="40">
        <f t="shared" si="12"/>
        <v>0</v>
      </c>
      <c r="M235" s="30">
        <f t="shared" si="11"/>
        <v>0</v>
      </c>
    </row>
    <row r="236" spans="1:13" s="30" customFormat="1" ht="18.75">
      <c r="A236" s="41"/>
      <c r="B236" s="60"/>
      <c r="C236" s="34"/>
      <c r="D236" s="55"/>
      <c r="E236" s="35"/>
      <c r="F236" s="35"/>
      <c r="G236" s="36"/>
      <c r="H236" s="28"/>
      <c r="I236" s="38"/>
      <c r="J236" s="39"/>
      <c r="L236" s="40">
        <f t="shared" si="12"/>
        <v>0</v>
      </c>
      <c r="M236" s="30">
        <f t="shared" si="11"/>
        <v>0</v>
      </c>
    </row>
    <row r="237" spans="1:13" s="30" customFormat="1" ht="18.75">
      <c r="A237" s="41"/>
      <c r="B237" s="42"/>
      <c r="C237" s="34"/>
      <c r="D237" s="55"/>
      <c r="E237" s="35"/>
      <c r="F237" s="35"/>
      <c r="G237" s="36"/>
      <c r="H237" s="28"/>
      <c r="I237" s="38"/>
      <c r="J237" s="39"/>
      <c r="L237" s="40">
        <f t="shared" si="12"/>
        <v>0</v>
      </c>
      <c r="M237" s="30">
        <f t="shared" si="11"/>
        <v>0</v>
      </c>
    </row>
    <row r="238" spans="1:13" s="30" customFormat="1" ht="37.5">
      <c r="A238" s="41" t="s">
        <v>256</v>
      </c>
      <c r="B238" s="49" t="s">
        <v>257</v>
      </c>
      <c r="C238" s="34" t="s">
        <v>86</v>
      </c>
      <c r="D238" s="55">
        <f>(5*2*2+22*2+5*3*2+10*3+25*3)</f>
        <v>199</v>
      </c>
      <c r="E238" s="35">
        <v>5.3</v>
      </c>
      <c r="F238" s="35">
        <f>ROUND(E238*1.2288,2)</f>
        <v>6.51</v>
      </c>
      <c r="G238" s="36">
        <f>ROUND(F238*D238,2)</f>
        <v>1295.49</v>
      </c>
      <c r="H238" s="53" t="s">
        <v>258</v>
      </c>
      <c r="I238" s="38" t="s">
        <v>259</v>
      </c>
      <c r="J238" s="39"/>
      <c r="L238" s="40">
        <f t="shared" si="12"/>
        <v>1295.49</v>
      </c>
      <c r="M238" s="30">
        <f t="shared" si="11"/>
        <v>1054.7</v>
      </c>
    </row>
    <row r="239" spans="1:13" s="30" customFormat="1" ht="18.75">
      <c r="A239" s="41"/>
      <c r="B239" s="42"/>
      <c r="C239" s="34"/>
      <c r="D239" s="55"/>
      <c r="E239" s="35"/>
      <c r="F239" s="35"/>
      <c r="G239" s="36"/>
      <c r="H239" s="28"/>
      <c r="I239" s="38"/>
      <c r="J239" s="39"/>
      <c r="L239" s="40">
        <f t="shared" si="12"/>
        <v>0</v>
      </c>
      <c r="M239" s="30">
        <f t="shared" si="11"/>
        <v>0</v>
      </c>
    </row>
    <row r="240" spans="1:13" s="30" customFormat="1" ht="31.5">
      <c r="A240" s="41" t="s">
        <v>260</v>
      </c>
      <c r="B240" s="49" t="s">
        <v>261</v>
      </c>
      <c r="C240" s="34" t="s">
        <v>86</v>
      </c>
      <c r="D240" s="55">
        <f>(28*2*2+7*2+25*2+56*2)</f>
        <v>288</v>
      </c>
      <c r="E240" s="35">
        <v>6.3</v>
      </c>
      <c r="F240" s="35">
        <f>ROUND(E240*1.2288,2)</f>
        <v>7.74</v>
      </c>
      <c r="G240" s="36">
        <f>ROUND(F240*D240,2)</f>
        <v>2229.12</v>
      </c>
      <c r="H240" s="53" t="s">
        <v>262</v>
      </c>
      <c r="I240" s="38" t="s">
        <v>263</v>
      </c>
      <c r="J240" s="39"/>
      <c r="L240" s="40">
        <f t="shared" si="12"/>
        <v>2229.12</v>
      </c>
      <c r="M240" s="30">
        <f t="shared" si="11"/>
        <v>1814.3999999999999</v>
      </c>
    </row>
    <row r="241" spans="1:13" s="30" customFormat="1" ht="18.75">
      <c r="A241" s="41"/>
      <c r="B241" s="42"/>
      <c r="C241" s="34"/>
      <c r="D241" s="55"/>
      <c r="E241" s="35"/>
      <c r="F241" s="35"/>
      <c r="G241" s="36"/>
      <c r="H241" s="28"/>
      <c r="I241" s="38"/>
      <c r="J241" s="39"/>
      <c r="L241" s="40">
        <f t="shared" si="12"/>
        <v>0</v>
      </c>
      <c r="M241" s="30">
        <f t="shared" si="11"/>
        <v>0</v>
      </c>
    </row>
    <row r="242" spans="1:13" s="30" customFormat="1" ht="18.75">
      <c r="A242" s="41"/>
      <c r="B242" s="42"/>
      <c r="C242" s="34"/>
      <c r="D242" s="167"/>
      <c r="E242" s="35"/>
      <c r="F242" s="35"/>
      <c r="G242" s="36"/>
      <c r="H242" s="28"/>
      <c r="I242" s="38"/>
      <c r="J242" s="39"/>
      <c r="L242" s="40">
        <f t="shared" si="12"/>
        <v>0</v>
      </c>
      <c r="M242" s="30">
        <f t="shared" si="11"/>
        <v>0</v>
      </c>
    </row>
    <row r="243" spans="1:13" s="30" customFormat="1" ht="18.75">
      <c r="A243" s="41" t="s">
        <v>264</v>
      </c>
      <c r="B243" s="60" t="s">
        <v>265</v>
      </c>
      <c r="C243" s="34"/>
      <c r="D243" s="55"/>
      <c r="E243" s="35"/>
      <c r="F243" s="35"/>
      <c r="G243" s="36"/>
      <c r="H243" s="28"/>
      <c r="I243" s="38"/>
      <c r="J243" s="39"/>
      <c r="L243" s="40">
        <f t="shared" si="12"/>
        <v>0</v>
      </c>
      <c r="M243" s="30">
        <f t="shared" si="11"/>
        <v>0</v>
      </c>
    </row>
    <row r="244" spans="1:13" s="30" customFormat="1" ht="78.75">
      <c r="A244" s="41"/>
      <c r="B244" s="42" t="s">
        <v>266</v>
      </c>
      <c r="C244" s="34"/>
      <c r="D244" s="55"/>
      <c r="E244" s="35"/>
      <c r="F244" s="35"/>
      <c r="G244" s="36"/>
      <c r="H244" s="28"/>
      <c r="I244" s="38"/>
      <c r="J244" s="39"/>
      <c r="L244" s="40">
        <f t="shared" si="12"/>
        <v>0</v>
      </c>
      <c r="M244" s="30">
        <f t="shared" si="11"/>
        <v>0</v>
      </c>
    </row>
    <row r="245" spans="1:13" s="30" customFormat="1" ht="18.75">
      <c r="A245" s="41"/>
      <c r="B245" s="42"/>
      <c r="C245" s="34"/>
      <c r="D245" s="55"/>
      <c r="E245" s="35"/>
      <c r="F245" s="35"/>
      <c r="G245" s="36"/>
      <c r="H245" s="28"/>
      <c r="I245" s="38"/>
      <c r="J245" s="39"/>
      <c r="L245" s="40">
        <f t="shared" si="12"/>
        <v>0</v>
      </c>
      <c r="M245" s="30">
        <f t="shared" si="11"/>
        <v>0</v>
      </c>
    </row>
    <row r="246" spans="1:13" s="30" customFormat="1" ht="18.75">
      <c r="A246" s="41"/>
      <c r="B246" s="42"/>
      <c r="C246" s="34"/>
      <c r="D246" s="55"/>
      <c r="E246" s="35"/>
      <c r="F246" s="35"/>
      <c r="G246" s="36"/>
      <c r="H246" s="28"/>
      <c r="I246" s="38"/>
      <c r="J246" s="39"/>
      <c r="L246" s="40">
        <f t="shared" si="12"/>
        <v>0</v>
      </c>
      <c r="M246" s="30">
        <f t="shared" si="11"/>
        <v>0</v>
      </c>
    </row>
    <row r="247" spans="1:13" s="30" customFormat="1" ht="18.75">
      <c r="A247" s="41" t="s">
        <v>267</v>
      </c>
      <c r="B247" s="49" t="s">
        <v>268</v>
      </c>
      <c r="C247" s="34" t="s">
        <v>86</v>
      </c>
      <c r="D247" s="55">
        <f>45*3</f>
        <v>135</v>
      </c>
      <c r="E247" s="35">
        <v>9.53</v>
      </c>
      <c r="F247" s="35">
        <f>ROUND(E247*1.2288,2)</f>
        <v>11.71</v>
      </c>
      <c r="G247" s="36">
        <f>ROUND(F247*D247,2)</f>
        <v>1580.85</v>
      </c>
      <c r="H247" s="28" t="s">
        <v>269</v>
      </c>
      <c r="I247" s="38" t="s">
        <v>270</v>
      </c>
      <c r="J247" s="39"/>
      <c r="L247" s="40">
        <f t="shared" si="12"/>
        <v>1580.8500000000001</v>
      </c>
      <c r="M247" s="30">
        <f t="shared" si="11"/>
        <v>1286.55</v>
      </c>
    </row>
    <row r="248" spans="1:13" s="30" customFormat="1" ht="18.75" hidden="1">
      <c r="A248" s="41"/>
      <c r="B248" s="42"/>
      <c r="C248" s="34"/>
      <c r="D248" s="55"/>
      <c r="E248" s="35"/>
      <c r="F248" s="35"/>
      <c r="G248" s="36"/>
      <c r="H248" s="28"/>
      <c r="I248" s="38"/>
      <c r="J248" s="39"/>
      <c r="L248" s="40">
        <f t="shared" si="12"/>
        <v>0</v>
      </c>
      <c r="M248" s="30">
        <f t="shared" si="11"/>
        <v>0</v>
      </c>
    </row>
    <row r="249" spans="1:13" s="30" customFormat="1" ht="18.75" hidden="1">
      <c r="A249" s="41"/>
      <c r="B249" s="42"/>
      <c r="C249" s="34"/>
      <c r="D249" s="55"/>
      <c r="E249" s="35"/>
      <c r="F249" s="35"/>
      <c r="G249" s="36"/>
      <c r="H249" s="28"/>
      <c r="I249" s="38"/>
      <c r="J249" s="39"/>
      <c r="L249" s="40">
        <f t="shared" si="12"/>
        <v>0</v>
      </c>
      <c r="M249" s="30">
        <f t="shared" si="11"/>
        <v>0</v>
      </c>
    </row>
    <row r="250" spans="1:13" s="30" customFormat="1" ht="18.75">
      <c r="A250" s="41" t="s">
        <v>271</v>
      </c>
      <c r="B250" s="49" t="s">
        <v>272</v>
      </c>
      <c r="C250" s="34" t="s">
        <v>86</v>
      </c>
      <c r="D250" s="55">
        <v>10</v>
      </c>
      <c r="E250" s="35">
        <v>12.72</v>
      </c>
      <c r="F250" s="35">
        <f>ROUND(E250*1.2288,2)</f>
        <v>15.63</v>
      </c>
      <c r="G250" s="36">
        <f>ROUND(F250*D250,2)</f>
        <v>156.3</v>
      </c>
      <c r="H250" s="28">
        <v>10</v>
      </c>
      <c r="I250" s="38" t="s">
        <v>273</v>
      </c>
      <c r="J250" s="39"/>
      <c r="L250" s="40">
        <f t="shared" si="12"/>
        <v>156.3</v>
      </c>
      <c r="M250" s="30">
        <f t="shared" si="11"/>
        <v>127.2</v>
      </c>
    </row>
    <row r="251" spans="1:13" s="30" customFormat="1" ht="78.75">
      <c r="A251" s="41"/>
      <c r="B251" s="42" t="s">
        <v>274</v>
      </c>
      <c r="C251" s="34"/>
      <c r="D251" s="55"/>
      <c r="E251" s="35"/>
      <c r="F251" s="35"/>
      <c r="G251" s="36"/>
      <c r="H251" s="28"/>
      <c r="I251" s="38"/>
      <c r="J251" s="39"/>
      <c r="L251" s="40">
        <f t="shared" si="12"/>
        <v>0</v>
      </c>
      <c r="M251" s="30">
        <f t="shared" si="11"/>
        <v>0</v>
      </c>
    </row>
    <row r="252" spans="1:13" s="30" customFormat="1" ht="18.75">
      <c r="A252" s="41"/>
      <c r="B252" s="42"/>
      <c r="C252" s="34"/>
      <c r="D252" s="55"/>
      <c r="E252" s="35"/>
      <c r="F252" s="35"/>
      <c r="G252" s="36"/>
      <c r="H252" s="28"/>
      <c r="I252" s="38"/>
      <c r="J252" s="39"/>
      <c r="L252" s="40">
        <f t="shared" si="12"/>
        <v>0</v>
      </c>
      <c r="M252" s="30">
        <f t="shared" si="11"/>
        <v>0</v>
      </c>
    </row>
    <row r="253" spans="1:13" s="30" customFormat="1" ht="18.75">
      <c r="A253" s="41"/>
      <c r="B253" s="49"/>
      <c r="C253" s="34"/>
      <c r="D253" s="55"/>
      <c r="E253" s="35"/>
      <c r="F253" s="35"/>
      <c r="G253" s="36"/>
      <c r="H253" s="28"/>
      <c r="I253" s="38"/>
      <c r="J253" s="39"/>
      <c r="L253" s="40">
        <f t="shared" si="12"/>
        <v>0</v>
      </c>
      <c r="M253" s="30">
        <f t="shared" si="11"/>
        <v>0</v>
      </c>
    </row>
    <row r="254" spans="1:13" s="30" customFormat="1" ht="18.75">
      <c r="A254" s="41" t="s">
        <v>275</v>
      </c>
      <c r="B254" s="60" t="s">
        <v>276</v>
      </c>
      <c r="C254" s="34"/>
      <c r="D254" s="55"/>
      <c r="E254" s="35"/>
      <c r="F254" s="35"/>
      <c r="G254" s="36"/>
      <c r="H254" s="28"/>
      <c r="I254" s="38"/>
      <c r="J254" s="39"/>
      <c r="L254" s="40">
        <f t="shared" si="12"/>
        <v>0</v>
      </c>
      <c r="M254" s="30">
        <f t="shared" si="11"/>
        <v>0</v>
      </c>
    </row>
    <row r="255" spans="1:13" s="30" customFormat="1" ht="141.75">
      <c r="A255" s="41"/>
      <c r="B255" s="42" t="s">
        <v>277</v>
      </c>
      <c r="C255" s="34"/>
      <c r="D255" s="55"/>
      <c r="E255" s="35"/>
      <c r="F255" s="35"/>
      <c r="G255" s="36"/>
      <c r="H255" s="28"/>
      <c r="I255" s="38"/>
      <c r="J255" s="39"/>
      <c r="L255" s="40">
        <f t="shared" si="12"/>
        <v>0</v>
      </c>
      <c r="M255" s="30">
        <f t="shared" si="11"/>
        <v>0</v>
      </c>
    </row>
    <row r="256" spans="1:13" s="30" customFormat="1" ht="18.75">
      <c r="A256" s="41"/>
      <c r="B256" s="60"/>
      <c r="C256" s="34"/>
      <c r="D256" s="55"/>
      <c r="E256" s="35"/>
      <c r="F256" s="35"/>
      <c r="G256" s="36"/>
      <c r="H256" s="28"/>
      <c r="I256" s="38"/>
      <c r="J256" s="39"/>
      <c r="L256" s="40">
        <f t="shared" si="12"/>
        <v>0</v>
      </c>
      <c r="M256" s="30">
        <f t="shared" si="11"/>
        <v>0</v>
      </c>
    </row>
    <row r="257" spans="1:13" s="30" customFormat="1" ht="31.5">
      <c r="A257" s="41" t="s">
        <v>278</v>
      </c>
      <c r="B257" s="49" t="s">
        <v>279</v>
      </c>
      <c r="C257" s="34" t="s">
        <v>86</v>
      </c>
      <c r="D257" s="55">
        <f>28*2+7+25+56</f>
        <v>144</v>
      </c>
      <c r="E257" s="35">
        <v>19.01</v>
      </c>
      <c r="F257" s="35">
        <f>ROUND(E257*1.2288,2)</f>
        <v>23.36</v>
      </c>
      <c r="G257" s="36">
        <f>ROUND(F257*D257,2)</f>
        <v>3363.84</v>
      </c>
      <c r="H257" s="53" t="s">
        <v>280</v>
      </c>
      <c r="I257" s="38" t="s">
        <v>281</v>
      </c>
      <c r="J257" s="39"/>
      <c r="L257" s="40">
        <f t="shared" si="12"/>
        <v>3363.84</v>
      </c>
      <c r="M257" s="30">
        <f t="shared" si="11"/>
        <v>2737.44</v>
      </c>
    </row>
    <row r="258" spans="1:13" s="30" customFormat="1" ht="18.75">
      <c r="A258" s="41"/>
      <c r="B258" s="42"/>
      <c r="C258" s="34"/>
      <c r="D258" s="55"/>
      <c r="E258" s="35"/>
      <c r="F258" s="35"/>
      <c r="G258" s="36"/>
      <c r="H258" s="28"/>
      <c r="I258" s="38"/>
      <c r="J258" s="39"/>
      <c r="L258" s="40">
        <f t="shared" si="12"/>
        <v>0</v>
      </c>
      <c r="M258" s="30">
        <f t="shared" si="11"/>
        <v>0</v>
      </c>
    </row>
    <row r="259" spans="1:13" s="30" customFormat="1" ht="18.75">
      <c r="A259" s="41" t="s">
        <v>282</v>
      </c>
      <c r="B259" s="49" t="s">
        <v>283</v>
      </c>
      <c r="C259" s="34" t="s">
        <v>86</v>
      </c>
      <c r="D259" s="55">
        <v>45</v>
      </c>
      <c r="E259" s="35">
        <v>30.13</v>
      </c>
      <c r="F259" s="35">
        <f>ROUND(E259*1.2288,2)</f>
        <v>37.02</v>
      </c>
      <c r="G259" s="36">
        <f>ROUND(F259*D259,2)</f>
        <v>1665.9</v>
      </c>
      <c r="H259" s="53">
        <v>45</v>
      </c>
      <c r="I259" s="38" t="s">
        <v>270</v>
      </c>
      <c r="J259" s="39"/>
      <c r="L259" s="40">
        <f t="shared" si="12"/>
        <v>1665.9</v>
      </c>
      <c r="M259" s="30">
        <f t="shared" si="11"/>
        <v>1355.85</v>
      </c>
    </row>
    <row r="260" spans="1:13" s="30" customFormat="1" ht="18.75">
      <c r="A260" s="41"/>
      <c r="B260" s="42"/>
      <c r="C260" s="34"/>
      <c r="D260" s="55"/>
      <c r="E260" s="35"/>
      <c r="F260" s="35"/>
      <c r="G260" s="36"/>
      <c r="H260" s="28"/>
      <c r="I260" s="38"/>
      <c r="J260" s="39"/>
      <c r="L260" s="40">
        <f t="shared" si="12"/>
        <v>0</v>
      </c>
      <c r="M260" s="30">
        <f t="shared" si="11"/>
        <v>0</v>
      </c>
    </row>
    <row r="261" spans="1:13" s="30" customFormat="1" ht="18.75">
      <c r="A261" s="41"/>
      <c r="B261" s="42"/>
      <c r="C261" s="34"/>
      <c r="D261" s="55"/>
      <c r="E261" s="35"/>
      <c r="F261" s="35"/>
      <c r="G261" s="36"/>
      <c r="H261" s="28"/>
      <c r="I261" s="38"/>
      <c r="J261" s="39"/>
      <c r="L261" s="40">
        <f t="shared" si="12"/>
        <v>0</v>
      </c>
      <c r="M261" s="30">
        <f t="shared" si="11"/>
        <v>0</v>
      </c>
    </row>
    <row r="262" spans="1:13" s="30" customFormat="1" ht="18.75">
      <c r="A262" s="41" t="s">
        <v>284</v>
      </c>
      <c r="B262" s="60" t="s">
        <v>285</v>
      </c>
      <c r="C262" s="34"/>
      <c r="D262" s="55"/>
      <c r="E262" s="35"/>
      <c r="F262" s="35"/>
      <c r="G262" s="36"/>
      <c r="H262" s="28"/>
      <c r="I262" s="38"/>
      <c r="J262" s="39"/>
      <c r="L262" s="40">
        <f t="shared" si="12"/>
        <v>0</v>
      </c>
      <c r="M262" s="30">
        <f t="shared" si="11"/>
        <v>0</v>
      </c>
    </row>
    <row r="263" spans="1:13" s="30" customFormat="1" ht="110.25">
      <c r="A263" s="41"/>
      <c r="B263" s="42" t="s">
        <v>286</v>
      </c>
      <c r="C263" s="34"/>
      <c r="D263" s="55"/>
      <c r="E263" s="35"/>
      <c r="F263" s="35"/>
      <c r="G263" s="36"/>
      <c r="H263" s="28"/>
      <c r="I263" s="38"/>
      <c r="J263" s="39"/>
      <c r="L263" s="40">
        <f t="shared" si="12"/>
        <v>0</v>
      </c>
      <c r="M263" s="30">
        <f t="shared" si="11"/>
        <v>0</v>
      </c>
    </row>
    <row r="264" spans="1:13" s="30" customFormat="1" ht="18.75" hidden="1">
      <c r="A264" s="41"/>
      <c r="B264" s="60"/>
      <c r="C264" s="34"/>
      <c r="D264" s="55"/>
      <c r="E264" s="35"/>
      <c r="F264" s="35"/>
      <c r="G264" s="36"/>
      <c r="H264" s="28"/>
      <c r="I264" s="38"/>
      <c r="J264" s="39"/>
      <c r="L264" s="40">
        <f t="shared" si="12"/>
        <v>0</v>
      </c>
      <c r="M264" s="30">
        <f t="shared" si="11"/>
        <v>0</v>
      </c>
    </row>
    <row r="265" spans="1:13" s="30" customFormat="1" ht="18.75" hidden="1">
      <c r="A265" s="41"/>
      <c r="B265" s="70"/>
      <c r="C265" s="34"/>
      <c r="D265" s="55"/>
      <c r="E265" s="35"/>
      <c r="F265" s="35"/>
      <c r="G265" s="36"/>
      <c r="H265" s="28"/>
      <c r="I265" s="38"/>
      <c r="J265" s="39"/>
      <c r="L265" s="40">
        <f t="shared" si="12"/>
        <v>0</v>
      </c>
      <c r="M265" s="30">
        <f t="shared" si="11"/>
        <v>0</v>
      </c>
    </row>
    <row r="266" spans="1:13" s="30" customFormat="1" ht="18.75">
      <c r="A266" s="41" t="s">
        <v>287</v>
      </c>
      <c r="B266" s="45" t="s">
        <v>288</v>
      </c>
      <c r="C266" s="34" t="s">
        <v>86</v>
      </c>
      <c r="D266" s="55">
        <f>(5*2+22+5*2+10+25)</f>
        <v>77</v>
      </c>
      <c r="E266" s="35">
        <v>9.07</v>
      </c>
      <c r="F266" s="35">
        <f>ROUND(E266*1.2288,2)</f>
        <v>11.15</v>
      </c>
      <c r="G266" s="36">
        <f>ROUND(F266*D266,2)</f>
        <v>858.55</v>
      </c>
      <c r="H266" s="53">
        <v>77</v>
      </c>
      <c r="I266" s="38" t="s">
        <v>289</v>
      </c>
      <c r="J266" s="39"/>
      <c r="L266" s="40">
        <f t="shared" si="12"/>
        <v>858.5500000000001</v>
      </c>
      <c r="M266" s="30">
        <f t="shared" si="11"/>
        <v>698.39</v>
      </c>
    </row>
    <row r="267" spans="1:13" s="30" customFormat="1" ht="18.75">
      <c r="A267" s="41"/>
      <c r="B267" s="70"/>
      <c r="C267" s="34"/>
      <c r="D267" s="55"/>
      <c r="E267" s="35"/>
      <c r="F267" s="35"/>
      <c r="G267" s="36"/>
      <c r="H267" s="28"/>
      <c r="I267" s="38"/>
      <c r="J267" s="39"/>
      <c r="L267" s="40">
        <f t="shared" si="12"/>
        <v>0</v>
      </c>
      <c r="M267" s="30">
        <f t="shared" si="11"/>
        <v>0</v>
      </c>
    </row>
    <row r="268" spans="1:13" s="30" customFormat="1" ht="18.75" hidden="1">
      <c r="A268" s="41"/>
      <c r="B268" s="42"/>
      <c r="C268" s="34"/>
      <c r="D268" s="55"/>
      <c r="E268" s="35"/>
      <c r="F268" s="35"/>
      <c r="G268" s="36"/>
      <c r="H268" s="28"/>
      <c r="I268" s="38"/>
      <c r="J268" s="39"/>
      <c r="L268" s="40">
        <f t="shared" si="12"/>
        <v>0</v>
      </c>
      <c r="M268" s="30">
        <f t="shared" si="11"/>
        <v>0</v>
      </c>
    </row>
    <row r="269" spans="1:13" s="30" customFormat="1" ht="18.75" hidden="1">
      <c r="A269" s="41"/>
      <c r="B269" s="42"/>
      <c r="C269" s="34"/>
      <c r="D269" s="55"/>
      <c r="E269" s="35"/>
      <c r="F269" s="35"/>
      <c r="G269" s="36"/>
      <c r="H269" s="28"/>
      <c r="I269" s="38"/>
      <c r="J269" s="39"/>
      <c r="L269" s="40">
        <f t="shared" si="12"/>
        <v>0</v>
      </c>
      <c r="M269" s="30">
        <f t="shared" si="11"/>
        <v>0</v>
      </c>
    </row>
    <row r="270" spans="1:13" s="30" customFormat="1" ht="18.75" hidden="1">
      <c r="A270" s="41"/>
      <c r="B270" s="49"/>
      <c r="C270" s="34"/>
      <c r="D270" s="55"/>
      <c r="E270" s="35"/>
      <c r="F270" s="35"/>
      <c r="G270" s="36"/>
      <c r="H270" s="28"/>
      <c r="I270" s="38"/>
      <c r="J270" s="39"/>
      <c r="L270" s="40">
        <f t="shared" si="12"/>
        <v>0</v>
      </c>
      <c r="M270" s="30">
        <f aca="true" t="shared" si="13" ref="M270:M333">D270*E270</f>
        <v>0</v>
      </c>
    </row>
    <row r="271" spans="1:13" s="30" customFormat="1" ht="18.75">
      <c r="A271" s="41" t="s">
        <v>290</v>
      </c>
      <c r="B271" s="49" t="s">
        <v>291</v>
      </c>
      <c r="C271" s="34" t="s">
        <v>20</v>
      </c>
      <c r="D271" s="55">
        <v>11</v>
      </c>
      <c r="E271" s="35">
        <v>7.89</v>
      </c>
      <c r="F271" s="35">
        <f>ROUND(E271*1.2288,2)</f>
        <v>9.7</v>
      </c>
      <c r="G271" s="36">
        <f>ROUND(F271*D271,2)</f>
        <v>106.7</v>
      </c>
      <c r="H271" s="53">
        <v>11</v>
      </c>
      <c r="I271" s="38"/>
      <c r="J271" s="39"/>
      <c r="L271" s="40">
        <f t="shared" si="12"/>
        <v>106.69999999999999</v>
      </c>
      <c r="M271" s="30">
        <f t="shared" si="13"/>
        <v>86.78999999999999</v>
      </c>
    </row>
    <row r="272" spans="1:13" s="30" customFormat="1" ht="63">
      <c r="A272" s="41"/>
      <c r="B272" s="42" t="s">
        <v>292</v>
      </c>
      <c r="C272" s="34"/>
      <c r="D272" s="55"/>
      <c r="E272" s="35"/>
      <c r="F272" s="35"/>
      <c r="G272" s="36"/>
      <c r="H272" s="28"/>
      <c r="I272" s="38"/>
      <c r="J272" s="39"/>
      <c r="L272" s="40">
        <f aca="true" t="shared" si="14" ref="L272:L287">D272*F272</f>
        <v>0</v>
      </c>
      <c r="M272" s="30">
        <f t="shared" si="13"/>
        <v>0</v>
      </c>
    </row>
    <row r="273" spans="1:13" s="30" customFormat="1" ht="18.75" hidden="1">
      <c r="A273" s="41"/>
      <c r="B273" s="42"/>
      <c r="C273" s="34"/>
      <c r="D273" s="55"/>
      <c r="E273" s="35"/>
      <c r="F273" s="35"/>
      <c r="G273" s="36"/>
      <c r="H273" s="28"/>
      <c r="I273" s="38"/>
      <c r="J273" s="39"/>
      <c r="L273" s="40">
        <f t="shared" si="14"/>
        <v>0</v>
      </c>
      <c r="M273" s="30">
        <f t="shared" si="13"/>
        <v>0</v>
      </c>
    </row>
    <row r="274" spans="1:13" s="30" customFormat="1" ht="18.75" hidden="1">
      <c r="A274" s="41"/>
      <c r="B274" s="42"/>
      <c r="C274" s="34"/>
      <c r="D274" s="55"/>
      <c r="E274" s="35"/>
      <c r="F274" s="35"/>
      <c r="G274" s="36"/>
      <c r="H274" s="28"/>
      <c r="I274" s="38"/>
      <c r="J274" s="39"/>
      <c r="L274" s="40">
        <f t="shared" si="14"/>
        <v>0</v>
      </c>
      <c r="M274" s="30">
        <f t="shared" si="13"/>
        <v>0</v>
      </c>
    </row>
    <row r="275" spans="1:13" s="30" customFormat="1" ht="18.75">
      <c r="A275" s="41" t="s">
        <v>293</v>
      </c>
      <c r="B275" s="49" t="s">
        <v>294</v>
      </c>
      <c r="C275" s="34" t="s">
        <v>20</v>
      </c>
      <c r="D275" s="55">
        <v>3</v>
      </c>
      <c r="E275" s="35">
        <v>8.68</v>
      </c>
      <c r="F275" s="35">
        <f>ROUND(E275*1.2288,2)</f>
        <v>10.67</v>
      </c>
      <c r="G275" s="36">
        <f>ROUND(F275*D275,2)</f>
        <v>32.01</v>
      </c>
      <c r="H275" s="53">
        <v>3</v>
      </c>
      <c r="I275" s="38"/>
      <c r="J275" s="39"/>
      <c r="L275" s="40">
        <f t="shared" si="14"/>
        <v>32.01</v>
      </c>
      <c r="M275" s="30">
        <f t="shared" si="13"/>
        <v>26.04</v>
      </c>
    </row>
    <row r="276" spans="1:13" s="30" customFormat="1" ht="63">
      <c r="A276" s="41"/>
      <c r="B276" s="42" t="s">
        <v>295</v>
      </c>
      <c r="C276" s="34"/>
      <c r="D276" s="55"/>
      <c r="E276" s="35"/>
      <c r="F276" s="35"/>
      <c r="G276" s="36"/>
      <c r="H276" s="37"/>
      <c r="I276" s="38"/>
      <c r="J276" s="39"/>
      <c r="L276" s="40">
        <f t="shared" si="14"/>
        <v>0</v>
      </c>
      <c r="M276" s="30">
        <f t="shared" si="13"/>
        <v>0</v>
      </c>
    </row>
    <row r="277" spans="1:13" s="30" customFormat="1" ht="18.75">
      <c r="A277" s="41"/>
      <c r="B277" s="42"/>
      <c r="C277" s="34"/>
      <c r="D277" s="55"/>
      <c r="E277" s="35"/>
      <c r="F277" s="35"/>
      <c r="G277" s="36"/>
      <c r="H277" s="28"/>
      <c r="I277" s="38"/>
      <c r="J277" s="39"/>
      <c r="L277" s="40">
        <f t="shared" si="14"/>
        <v>0</v>
      </c>
      <c r="M277" s="30">
        <f t="shared" si="13"/>
        <v>0</v>
      </c>
    </row>
    <row r="278" spans="1:13" s="30" customFormat="1" ht="18.75" hidden="1">
      <c r="A278" s="41"/>
      <c r="B278" s="49"/>
      <c r="C278" s="34"/>
      <c r="D278" s="55"/>
      <c r="E278" s="35"/>
      <c r="F278" s="35"/>
      <c r="G278" s="36"/>
      <c r="H278" s="28"/>
      <c r="I278" s="38"/>
      <c r="J278" s="39"/>
      <c r="L278" s="40">
        <f t="shared" si="14"/>
        <v>0</v>
      </c>
      <c r="M278" s="30">
        <f t="shared" si="13"/>
        <v>0</v>
      </c>
    </row>
    <row r="279" spans="1:13" s="30" customFormat="1" ht="31.5">
      <c r="A279" s="41" t="s">
        <v>296</v>
      </c>
      <c r="B279" s="49" t="s">
        <v>297</v>
      </c>
      <c r="C279" s="34" t="s">
        <v>20</v>
      </c>
      <c r="D279" s="55">
        <v>12</v>
      </c>
      <c r="E279" s="35">
        <v>432.73</v>
      </c>
      <c r="F279" s="35">
        <f>ROUND(E279*1.2288,2)</f>
        <v>531.74</v>
      </c>
      <c r="G279" s="36">
        <f>ROUND(F279*D279,2)</f>
        <v>6380.88</v>
      </c>
      <c r="H279" s="53">
        <v>12</v>
      </c>
      <c r="I279" s="38"/>
      <c r="J279" s="39"/>
      <c r="L279" s="40">
        <f t="shared" si="14"/>
        <v>6380.88</v>
      </c>
      <c r="M279" s="30">
        <f t="shared" si="13"/>
        <v>5192.76</v>
      </c>
    </row>
    <row r="280" spans="1:13" s="30" customFormat="1" ht="141.75">
      <c r="A280" s="41"/>
      <c r="B280" s="42" t="s">
        <v>298</v>
      </c>
      <c r="C280" s="34"/>
      <c r="D280" s="55"/>
      <c r="E280" s="35"/>
      <c r="F280" s="35"/>
      <c r="G280" s="36"/>
      <c r="H280" s="28"/>
      <c r="I280" s="38"/>
      <c r="J280" s="39"/>
      <c r="L280" s="40">
        <f t="shared" si="14"/>
        <v>0</v>
      </c>
      <c r="M280" s="30">
        <f t="shared" si="13"/>
        <v>0</v>
      </c>
    </row>
    <row r="281" spans="1:13" s="30" customFormat="1" ht="18.75">
      <c r="A281" s="41"/>
      <c r="B281" s="42"/>
      <c r="C281" s="34"/>
      <c r="D281" s="55"/>
      <c r="E281" s="35"/>
      <c r="F281" s="35"/>
      <c r="G281" s="36"/>
      <c r="H281" s="28"/>
      <c r="I281" s="38"/>
      <c r="J281" s="39"/>
      <c r="L281" s="40">
        <f t="shared" si="14"/>
        <v>0</v>
      </c>
      <c r="M281" s="30">
        <f t="shared" si="13"/>
        <v>0</v>
      </c>
    </row>
    <row r="282" spans="1:13" s="30" customFormat="1" ht="18.75">
      <c r="A282" s="41"/>
      <c r="B282" s="49"/>
      <c r="C282" s="34"/>
      <c r="D282" s="55"/>
      <c r="E282" s="35"/>
      <c r="F282" s="35"/>
      <c r="G282" s="36"/>
      <c r="H282" s="28"/>
      <c r="I282" s="38"/>
      <c r="J282" s="39"/>
      <c r="L282" s="40">
        <f t="shared" si="14"/>
        <v>0</v>
      </c>
      <c r="M282" s="30">
        <f t="shared" si="13"/>
        <v>0</v>
      </c>
    </row>
    <row r="283" spans="1:13" s="30" customFormat="1" ht="18.75">
      <c r="A283" s="41" t="s">
        <v>299</v>
      </c>
      <c r="B283" s="60" t="s">
        <v>300</v>
      </c>
      <c r="C283" s="34"/>
      <c r="D283" s="55"/>
      <c r="E283" s="35"/>
      <c r="F283" s="35"/>
      <c r="G283" s="36"/>
      <c r="H283" s="28"/>
      <c r="I283" s="38"/>
      <c r="J283" s="39"/>
      <c r="L283" s="40">
        <f t="shared" si="14"/>
        <v>0</v>
      </c>
      <c r="M283" s="30">
        <f t="shared" si="13"/>
        <v>0</v>
      </c>
    </row>
    <row r="284" spans="1:13" s="30" customFormat="1" ht="94.5">
      <c r="A284" s="41"/>
      <c r="B284" s="42" t="s">
        <v>301</v>
      </c>
      <c r="C284" s="34"/>
      <c r="D284" s="55"/>
      <c r="E284" s="35"/>
      <c r="F284" s="35"/>
      <c r="G284" s="36"/>
      <c r="H284" s="28"/>
      <c r="I284" s="38"/>
      <c r="J284" s="39"/>
      <c r="L284" s="40">
        <f t="shared" si="14"/>
        <v>0</v>
      </c>
      <c r="M284" s="30">
        <f t="shared" si="13"/>
        <v>0</v>
      </c>
    </row>
    <row r="285" spans="1:13" s="30" customFormat="1" ht="18.75">
      <c r="A285" s="41"/>
      <c r="B285" s="42"/>
      <c r="C285" s="34"/>
      <c r="D285" s="55"/>
      <c r="E285" s="35"/>
      <c r="F285" s="35"/>
      <c r="G285" s="36"/>
      <c r="H285" s="28"/>
      <c r="I285" s="38"/>
      <c r="J285" s="39"/>
      <c r="L285" s="40">
        <f t="shared" si="14"/>
        <v>0</v>
      </c>
      <c r="M285" s="30">
        <f t="shared" si="13"/>
        <v>0</v>
      </c>
    </row>
    <row r="286" spans="1:13" s="30" customFormat="1" ht="18.75">
      <c r="A286" s="41"/>
      <c r="B286" s="42"/>
      <c r="C286" s="34"/>
      <c r="D286" s="55"/>
      <c r="E286" s="35"/>
      <c r="F286" s="35"/>
      <c r="G286" s="36"/>
      <c r="H286" s="37"/>
      <c r="I286" s="38"/>
      <c r="J286" s="39"/>
      <c r="L286" s="40">
        <f t="shared" si="14"/>
        <v>0</v>
      </c>
      <c r="M286" s="30">
        <f t="shared" si="13"/>
        <v>0</v>
      </c>
    </row>
    <row r="287" spans="1:13" s="30" customFormat="1" ht="31.5">
      <c r="A287" s="41" t="s">
        <v>302</v>
      </c>
      <c r="B287" s="49" t="s">
        <v>303</v>
      </c>
      <c r="C287" s="34" t="s">
        <v>20</v>
      </c>
      <c r="D287" s="55">
        <v>1</v>
      </c>
      <c r="E287" s="35">
        <v>241.26</v>
      </c>
      <c r="F287" s="35">
        <f>ROUND(E287*1.2288,2)</f>
        <v>296.46</v>
      </c>
      <c r="G287" s="36">
        <f>ROUND(F287*D287,2)</f>
        <v>296.46</v>
      </c>
      <c r="H287" s="37">
        <v>1</v>
      </c>
      <c r="I287" s="38"/>
      <c r="J287" s="39"/>
      <c r="L287" s="40">
        <f t="shared" si="14"/>
        <v>296.46</v>
      </c>
      <c r="M287" s="30">
        <f t="shared" si="13"/>
        <v>241.26</v>
      </c>
    </row>
    <row r="288" spans="1:13" s="30" customFormat="1" ht="18.75">
      <c r="A288" s="41"/>
      <c r="B288" s="42"/>
      <c r="C288" s="34"/>
      <c r="D288" s="55"/>
      <c r="E288" s="35"/>
      <c r="F288" s="35"/>
      <c r="G288" s="36"/>
      <c r="H288" s="28"/>
      <c r="I288" s="38"/>
      <c r="J288" s="39"/>
      <c r="L288" s="152">
        <f>SUM(L207:L287)</f>
        <v>19191.69</v>
      </c>
      <c r="M288" s="30">
        <f t="shared" si="13"/>
        <v>0</v>
      </c>
    </row>
    <row r="289" spans="1:13" s="30" customFormat="1" ht="18.75" customHeight="1">
      <c r="A289" s="69"/>
      <c r="B289" s="64"/>
      <c r="C289" s="190" t="s">
        <v>34</v>
      </c>
      <c r="D289" s="190"/>
      <c r="E289" s="190"/>
      <c r="F289" s="142"/>
      <c r="G289" s="51">
        <f>SUM(G202:G288)</f>
        <v>19191.69</v>
      </c>
      <c r="H289" s="28"/>
      <c r="I289" s="38"/>
      <c r="J289" s="39"/>
      <c r="L289" s="40"/>
      <c r="M289" s="30">
        <f t="shared" si="13"/>
        <v>0</v>
      </c>
    </row>
    <row r="290" spans="1:13" s="30" customFormat="1" ht="18.75">
      <c r="A290" s="23" t="s">
        <v>304</v>
      </c>
      <c r="B290" s="24" t="s">
        <v>305</v>
      </c>
      <c r="C290" s="65"/>
      <c r="D290" s="162"/>
      <c r="E290" s="26"/>
      <c r="F290" s="67"/>
      <c r="G290" s="36"/>
      <c r="H290" s="28"/>
      <c r="I290" s="38"/>
      <c r="J290" s="39"/>
      <c r="L290" s="40">
        <f aca="true" t="shared" si="15" ref="L290:L297">D290*F290</f>
        <v>0</v>
      </c>
      <c r="M290" s="30">
        <f t="shared" si="13"/>
        <v>0</v>
      </c>
    </row>
    <row r="291" spans="1:13" s="30" customFormat="1" ht="18.75">
      <c r="A291" s="32" t="s">
        <v>306</v>
      </c>
      <c r="B291" s="66" t="s">
        <v>135</v>
      </c>
      <c r="C291" s="34"/>
      <c r="D291" s="55"/>
      <c r="E291" s="35"/>
      <c r="F291" s="35"/>
      <c r="G291" s="36"/>
      <c r="H291" s="28"/>
      <c r="I291" s="38"/>
      <c r="J291" s="39"/>
      <c r="L291" s="40">
        <f t="shared" si="15"/>
        <v>0</v>
      </c>
      <c r="M291" s="30">
        <f t="shared" si="13"/>
        <v>0</v>
      </c>
    </row>
    <row r="292" spans="1:14" s="30" customFormat="1" ht="30" customHeight="1">
      <c r="A292" s="41" t="s">
        <v>307</v>
      </c>
      <c r="B292" s="49" t="s">
        <v>308</v>
      </c>
      <c r="C292" s="34" t="s">
        <v>25</v>
      </c>
      <c r="D292" s="55">
        <f>0.8*2.1+1*2.1*2</f>
        <v>5.880000000000001</v>
      </c>
      <c r="E292" s="35">
        <v>363.17</v>
      </c>
      <c r="F292" s="35">
        <f>ROUND(E292*1.2288,2)</f>
        <v>446.26</v>
      </c>
      <c r="G292" s="36">
        <f>ROUND(F292*D292,2)</f>
        <v>2624.01</v>
      </c>
      <c r="H292" s="28" t="s">
        <v>309</v>
      </c>
      <c r="I292" s="38" t="s">
        <v>310</v>
      </c>
      <c r="J292" s="39"/>
      <c r="K292" s="147"/>
      <c r="L292" s="40">
        <f t="shared" si="15"/>
        <v>2624.0088000000005</v>
      </c>
      <c r="M292" s="30">
        <f t="shared" si="13"/>
        <v>2135.4396</v>
      </c>
      <c r="N292" s="148"/>
    </row>
    <row r="293" spans="1:13" s="30" customFormat="1" ht="141.75">
      <c r="A293" s="41"/>
      <c r="B293" s="42" t="s">
        <v>311</v>
      </c>
      <c r="C293" s="34"/>
      <c r="D293" s="55"/>
      <c r="E293" s="35"/>
      <c r="F293" s="35"/>
      <c r="G293" s="36"/>
      <c r="H293" s="28"/>
      <c r="I293" s="38"/>
      <c r="J293" s="39"/>
      <c r="L293" s="40">
        <f t="shared" si="15"/>
        <v>0</v>
      </c>
      <c r="M293" s="30">
        <f t="shared" si="13"/>
        <v>0</v>
      </c>
    </row>
    <row r="294" spans="1:13" s="30" customFormat="1" ht="18.75">
      <c r="A294" s="41"/>
      <c r="B294" s="42"/>
      <c r="C294" s="34"/>
      <c r="D294" s="55"/>
      <c r="E294" s="35"/>
      <c r="F294" s="35"/>
      <c r="G294" s="36"/>
      <c r="H294" s="28"/>
      <c r="I294" s="38"/>
      <c r="J294" s="39"/>
      <c r="L294" s="40">
        <f t="shared" si="15"/>
        <v>0</v>
      </c>
      <c r="M294" s="30">
        <f t="shared" si="13"/>
        <v>0</v>
      </c>
    </row>
    <row r="295" spans="1:13" s="30" customFormat="1" ht="18.75">
      <c r="A295" s="41"/>
      <c r="B295" s="42"/>
      <c r="C295" s="34"/>
      <c r="D295" s="55"/>
      <c r="E295" s="35"/>
      <c r="F295" s="35"/>
      <c r="G295" s="36"/>
      <c r="H295" s="28"/>
      <c r="I295" s="38"/>
      <c r="J295" s="39"/>
      <c r="L295" s="40">
        <f t="shared" si="15"/>
        <v>0</v>
      </c>
      <c r="M295" s="30">
        <f t="shared" si="13"/>
        <v>0</v>
      </c>
    </row>
    <row r="296" spans="1:13" s="30" customFormat="1" ht="31.5">
      <c r="A296" s="41" t="s">
        <v>312</v>
      </c>
      <c r="B296" s="49" t="s">
        <v>313</v>
      </c>
      <c r="C296" s="34" t="s">
        <v>25</v>
      </c>
      <c r="D296" s="55">
        <f>0.8*1*4</f>
        <v>3.2</v>
      </c>
      <c r="E296" s="35">
        <v>530.43</v>
      </c>
      <c r="F296" s="35">
        <f>ROUND(E296*1.2288,2)</f>
        <v>651.79</v>
      </c>
      <c r="G296" s="36">
        <f>ROUND(F296*D296,2)</f>
        <v>2085.73</v>
      </c>
      <c r="H296" s="28" t="s">
        <v>314</v>
      </c>
      <c r="I296" s="38" t="s">
        <v>315</v>
      </c>
      <c r="J296" s="39"/>
      <c r="L296" s="40">
        <f t="shared" si="15"/>
        <v>2085.728</v>
      </c>
      <c r="M296" s="30">
        <f t="shared" si="13"/>
        <v>1697.376</v>
      </c>
    </row>
    <row r="297" spans="1:13" s="30" customFormat="1" ht="156" customHeight="1">
      <c r="A297" s="41"/>
      <c r="B297" s="42" t="s">
        <v>316</v>
      </c>
      <c r="C297" s="34"/>
      <c r="D297" s="55"/>
      <c r="E297" s="35"/>
      <c r="F297" s="35"/>
      <c r="G297" s="36"/>
      <c r="H297" s="28"/>
      <c r="I297" s="38"/>
      <c r="J297" s="39"/>
      <c r="L297" s="40">
        <f t="shared" si="15"/>
        <v>0</v>
      </c>
      <c r="M297" s="30">
        <f t="shared" si="13"/>
        <v>0</v>
      </c>
    </row>
    <row r="298" spans="1:13" s="30" customFormat="1" ht="18.75">
      <c r="A298" s="41"/>
      <c r="B298" s="42"/>
      <c r="C298" s="34"/>
      <c r="D298" s="55"/>
      <c r="E298" s="35"/>
      <c r="F298" s="35"/>
      <c r="G298" s="36"/>
      <c r="H298" s="28"/>
      <c r="I298" s="38"/>
      <c r="J298" s="39"/>
      <c r="L298" s="40"/>
      <c r="M298" s="30">
        <f t="shared" si="13"/>
        <v>0</v>
      </c>
    </row>
    <row r="299" spans="1:13" s="30" customFormat="1" ht="18" customHeight="1">
      <c r="A299" s="62"/>
      <c r="B299" s="64"/>
      <c r="C299" s="190" t="s">
        <v>34</v>
      </c>
      <c r="D299" s="190"/>
      <c r="E299" s="190"/>
      <c r="F299" s="142"/>
      <c r="G299" s="51">
        <f>SUM(G292:G298)</f>
        <v>4709.74</v>
      </c>
      <c r="H299" s="28"/>
      <c r="I299" s="38"/>
      <c r="J299" s="39"/>
      <c r="L299" s="152">
        <f>SUM(L292:L298)</f>
        <v>4709.736800000001</v>
      </c>
      <c r="M299" s="30">
        <f t="shared" si="13"/>
        <v>0</v>
      </c>
    </row>
    <row r="300" spans="1:13" s="30" customFormat="1" ht="18.75">
      <c r="A300" s="23">
        <v>130000</v>
      </c>
      <c r="B300" s="24" t="s">
        <v>317</v>
      </c>
      <c r="C300" s="25"/>
      <c r="D300" s="162"/>
      <c r="E300" s="26"/>
      <c r="F300" s="67"/>
      <c r="G300" s="36"/>
      <c r="H300" s="28"/>
      <c r="I300" s="38"/>
      <c r="J300" s="39"/>
      <c r="L300" s="40"/>
      <c r="M300" s="30">
        <f t="shared" si="13"/>
        <v>0</v>
      </c>
    </row>
    <row r="301" spans="1:13" s="30" customFormat="1" ht="18.75">
      <c r="A301" s="32">
        <v>130100</v>
      </c>
      <c r="B301" s="66" t="s">
        <v>318</v>
      </c>
      <c r="C301" s="61"/>
      <c r="D301" s="55"/>
      <c r="E301" s="35"/>
      <c r="F301" s="35"/>
      <c r="G301" s="36"/>
      <c r="H301" s="28"/>
      <c r="I301" s="38"/>
      <c r="J301" s="39"/>
      <c r="L301" s="40">
        <f aca="true" t="shared" si="16" ref="L301:L353">D301*F301</f>
        <v>0</v>
      </c>
      <c r="M301" s="30">
        <f t="shared" si="13"/>
        <v>0</v>
      </c>
    </row>
    <row r="302" spans="1:13" s="30" customFormat="1" ht="18.75">
      <c r="A302" s="41"/>
      <c r="B302" s="42"/>
      <c r="C302" s="34"/>
      <c r="D302" s="55"/>
      <c r="E302" s="35"/>
      <c r="F302" s="35"/>
      <c r="G302" s="36"/>
      <c r="H302" s="28"/>
      <c r="I302" s="38"/>
      <c r="J302" s="39"/>
      <c r="L302" s="40">
        <f t="shared" si="16"/>
        <v>0</v>
      </c>
      <c r="M302" s="30">
        <f t="shared" si="13"/>
        <v>0</v>
      </c>
    </row>
    <row r="303" spans="1:13" s="30" customFormat="1" ht="18.75">
      <c r="A303" s="41" t="s">
        <v>319</v>
      </c>
      <c r="B303" s="60" t="s">
        <v>320</v>
      </c>
      <c r="C303" s="34"/>
      <c r="D303" s="55"/>
      <c r="E303" s="35"/>
      <c r="F303" s="35"/>
      <c r="G303" s="36"/>
      <c r="H303" s="28"/>
      <c r="I303" s="38"/>
      <c r="J303" s="39"/>
      <c r="L303" s="40">
        <f t="shared" si="16"/>
        <v>0</v>
      </c>
      <c r="M303" s="30">
        <f t="shared" si="13"/>
        <v>0</v>
      </c>
    </row>
    <row r="304" spans="1:13" s="30" customFormat="1" ht="18.75">
      <c r="A304" s="41" t="s">
        <v>321</v>
      </c>
      <c r="B304" s="49" t="s">
        <v>322</v>
      </c>
      <c r="C304" s="34" t="s">
        <v>20</v>
      </c>
      <c r="D304" s="55">
        <v>4</v>
      </c>
      <c r="E304" s="35">
        <v>226.13</v>
      </c>
      <c r="F304" s="35">
        <f>ROUND(E304*1.2288,2)</f>
        <v>277.87</v>
      </c>
      <c r="G304" s="36">
        <f>ROUND(F304*D304,2)</f>
        <v>1111.48</v>
      </c>
      <c r="H304" s="28">
        <v>4</v>
      </c>
      <c r="I304" s="38"/>
      <c r="J304" s="39"/>
      <c r="L304" s="40">
        <f t="shared" si="16"/>
        <v>1111.48</v>
      </c>
      <c r="M304" s="30">
        <f t="shared" si="13"/>
        <v>904.52</v>
      </c>
    </row>
    <row r="305" spans="1:13" s="30" customFormat="1" ht="94.5">
      <c r="A305" s="41"/>
      <c r="B305" s="42" t="s">
        <v>323</v>
      </c>
      <c r="C305" s="34"/>
      <c r="D305" s="55"/>
      <c r="E305" s="35"/>
      <c r="F305" s="35"/>
      <c r="G305" s="36"/>
      <c r="H305" s="28"/>
      <c r="I305" s="38"/>
      <c r="J305" s="39"/>
      <c r="L305" s="40">
        <f t="shared" si="16"/>
        <v>0</v>
      </c>
      <c r="M305" s="30">
        <f t="shared" si="13"/>
        <v>0</v>
      </c>
    </row>
    <row r="306" spans="1:13" s="30" customFormat="1" ht="18.75">
      <c r="A306" s="41"/>
      <c r="B306" s="49"/>
      <c r="C306" s="34"/>
      <c r="D306" s="55"/>
      <c r="E306" s="35"/>
      <c r="F306" s="35"/>
      <c r="G306" s="36"/>
      <c r="H306" s="28"/>
      <c r="I306" s="38"/>
      <c r="J306" s="39"/>
      <c r="L306" s="40">
        <f t="shared" si="16"/>
        <v>0</v>
      </c>
      <c r="M306" s="30">
        <f t="shared" si="13"/>
        <v>0</v>
      </c>
    </row>
    <row r="307" spans="1:13" s="30" customFormat="1" ht="30" customHeight="1">
      <c r="A307" s="41" t="s">
        <v>324</v>
      </c>
      <c r="B307" s="49" t="s">
        <v>325</v>
      </c>
      <c r="C307" s="34" t="s">
        <v>20</v>
      </c>
      <c r="D307" s="55">
        <v>2</v>
      </c>
      <c r="E307" s="35">
        <v>239.79</v>
      </c>
      <c r="F307" s="35">
        <f>ROUND(E307*1.2288,2)</f>
        <v>294.65</v>
      </c>
      <c r="G307" s="36">
        <f>ROUND(F307*D307,2)</f>
        <v>589.3</v>
      </c>
      <c r="H307" s="28">
        <v>2</v>
      </c>
      <c r="I307" s="38"/>
      <c r="J307" s="39"/>
      <c r="L307" s="40">
        <f t="shared" si="16"/>
        <v>589.3</v>
      </c>
      <c r="M307" s="30">
        <f t="shared" si="13"/>
        <v>479.58</v>
      </c>
    </row>
    <row r="308" spans="1:13" s="30" customFormat="1" ht="94.5">
      <c r="A308" s="41"/>
      <c r="B308" s="42" t="s">
        <v>326</v>
      </c>
      <c r="C308" s="34"/>
      <c r="D308" s="55"/>
      <c r="E308" s="35"/>
      <c r="F308" s="35"/>
      <c r="G308" s="36"/>
      <c r="H308" s="28"/>
      <c r="I308" s="38"/>
      <c r="J308" s="39"/>
      <c r="L308" s="40">
        <f t="shared" si="16"/>
        <v>0</v>
      </c>
      <c r="M308" s="30">
        <f t="shared" si="13"/>
        <v>0</v>
      </c>
    </row>
    <row r="309" spans="1:13" s="30" customFormat="1" ht="18.75">
      <c r="A309" s="41"/>
      <c r="B309" s="42"/>
      <c r="C309" s="34"/>
      <c r="D309" s="55"/>
      <c r="E309" s="35"/>
      <c r="F309" s="35"/>
      <c r="G309" s="36"/>
      <c r="H309" s="28"/>
      <c r="I309" s="38"/>
      <c r="J309" s="39"/>
      <c r="L309" s="40">
        <f t="shared" si="16"/>
        <v>0</v>
      </c>
      <c r="M309" s="30">
        <f t="shared" si="13"/>
        <v>0</v>
      </c>
    </row>
    <row r="310" spans="1:13" s="30" customFormat="1" ht="18.75">
      <c r="A310" s="41"/>
      <c r="B310" s="42"/>
      <c r="C310" s="34"/>
      <c r="D310" s="55"/>
      <c r="E310" s="35"/>
      <c r="F310" s="35"/>
      <c r="G310" s="36"/>
      <c r="H310" s="28"/>
      <c r="I310" s="38"/>
      <c r="J310" s="39"/>
      <c r="L310" s="40">
        <f t="shared" si="16"/>
        <v>0</v>
      </c>
      <c r="M310" s="30">
        <f t="shared" si="13"/>
        <v>0</v>
      </c>
    </row>
    <row r="311" spans="1:13" s="30" customFormat="1" ht="18.75">
      <c r="A311" s="41" t="s">
        <v>327</v>
      </c>
      <c r="B311" s="49" t="s">
        <v>328</v>
      </c>
      <c r="C311" s="34" t="s">
        <v>86</v>
      </c>
      <c r="D311" s="55">
        <f>4.97+3.64+4.6*2+2.15*3</f>
        <v>24.259999999999998</v>
      </c>
      <c r="E311" s="35">
        <v>110.01</v>
      </c>
      <c r="F311" s="35">
        <f>ROUND(E311*1.2288,2)</f>
        <v>135.18</v>
      </c>
      <c r="G311" s="36">
        <f>ROUND(F311*D311,2)</f>
        <v>3279.47</v>
      </c>
      <c r="H311" s="56" t="s">
        <v>520</v>
      </c>
      <c r="I311" s="38"/>
      <c r="J311" s="39"/>
      <c r="L311" s="40">
        <f t="shared" si="16"/>
        <v>3279.4667999999997</v>
      </c>
      <c r="M311" s="30">
        <f t="shared" si="13"/>
        <v>2668.8426</v>
      </c>
    </row>
    <row r="312" spans="1:13" s="30" customFormat="1" ht="189">
      <c r="A312" s="41"/>
      <c r="B312" s="42" t="s">
        <v>329</v>
      </c>
      <c r="C312" s="34"/>
      <c r="D312" s="55"/>
      <c r="E312" s="35"/>
      <c r="F312" s="35"/>
      <c r="G312" s="36"/>
      <c r="H312" s="28"/>
      <c r="I312" s="38"/>
      <c r="J312" s="39"/>
      <c r="L312" s="40">
        <f t="shared" si="16"/>
        <v>0</v>
      </c>
      <c r="M312" s="30">
        <f t="shared" si="13"/>
        <v>0</v>
      </c>
    </row>
    <row r="313" spans="1:13" s="30" customFormat="1" ht="18.75">
      <c r="A313" s="41"/>
      <c r="B313" s="42"/>
      <c r="C313" s="34"/>
      <c r="D313" s="55"/>
      <c r="E313" s="35"/>
      <c r="F313" s="35"/>
      <c r="G313" s="36"/>
      <c r="H313" s="28"/>
      <c r="I313" s="38"/>
      <c r="J313" s="39"/>
      <c r="L313" s="40">
        <f t="shared" si="16"/>
        <v>0</v>
      </c>
      <c r="M313" s="30">
        <f t="shared" si="13"/>
        <v>0</v>
      </c>
    </row>
    <row r="314" spans="1:13" s="30" customFormat="1" ht="18.75">
      <c r="A314" s="41"/>
      <c r="B314" s="42"/>
      <c r="C314" s="34"/>
      <c r="D314" s="55"/>
      <c r="E314" s="35"/>
      <c r="F314" s="35"/>
      <c r="G314" s="36"/>
      <c r="H314" s="28"/>
      <c r="I314" s="38"/>
      <c r="J314" s="39"/>
      <c r="L314" s="40">
        <f t="shared" si="16"/>
        <v>0</v>
      </c>
      <c r="M314" s="30">
        <f t="shared" si="13"/>
        <v>0</v>
      </c>
    </row>
    <row r="315" spans="1:13" s="30" customFormat="1" ht="31.5">
      <c r="A315" s="41" t="s">
        <v>330</v>
      </c>
      <c r="B315" s="49" t="s">
        <v>331</v>
      </c>
      <c r="C315" s="34" t="s">
        <v>86</v>
      </c>
      <c r="D315" s="55">
        <f>2.35+3.89+4.6*2+1.5+10</f>
        <v>26.939999999999998</v>
      </c>
      <c r="E315" s="35">
        <v>517.8</v>
      </c>
      <c r="F315" s="35">
        <f>ROUND(E315*1.2288,2)</f>
        <v>636.27</v>
      </c>
      <c r="G315" s="36">
        <f>ROUND(F315*D315,2)</f>
        <v>17141.11</v>
      </c>
      <c r="H315" s="56" t="s">
        <v>519</v>
      </c>
      <c r="I315" s="38"/>
      <c r="J315" s="39"/>
      <c r="L315" s="40">
        <f t="shared" si="16"/>
        <v>17141.1138</v>
      </c>
      <c r="M315" s="30">
        <f t="shared" si="13"/>
        <v>13949.531999999997</v>
      </c>
    </row>
    <row r="316" spans="1:13" s="30" customFormat="1" ht="221.25" customHeight="1">
      <c r="A316" s="41"/>
      <c r="B316" s="42" t="s">
        <v>332</v>
      </c>
      <c r="C316" s="34"/>
      <c r="D316" s="55"/>
      <c r="E316" s="35"/>
      <c r="F316" s="35"/>
      <c r="G316" s="36"/>
      <c r="H316" s="28"/>
      <c r="I316" s="38"/>
      <c r="J316" s="39"/>
      <c r="L316" s="40">
        <f t="shared" si="16"/>
        <v>0</v>
      </c>
      <c r="M316" s="30">
        <f t="shared" si="13"/>
        <v>0</v>
      </c>
    </row>
    <row r="317" spans="1:13" s="30" customFormat="1" ht="18" customHeight="1">
      <c r="A317" s="62"/>
      <c r="B317" s="64"/>
      <c r="C317" s="190" t="s">
        <v>34</v>
      </c>
      <c r="D317" s="190"/>
      <c r="E317" s="190"/>
      <c r="F317" s="142"/>
      <c r="G317" s="51">
        <f>SUM(G302:G316)</f>
        <v>22121.36</v>
      </c>
      <c r="H317" s="28"/>
      <c r="I317" s="38"/>
      <c r="J317" s="39"/>
      <c r="L317" s="152">
        <f>SUM(L301:L316)</f>
        <v>22121.3606</v>
      </c>
      <c r="M317" s="30">
        <f t="shared" si="13"/>
        <v>0</v>
      </c>
    </row>
    <row r="318" spans="1:13" s="30" customFormat="1" ht="18.75">
      <c r="A318" s="23">
        <v>140000</v>
      </c>
      <c r="B318" s="24" t="s">
        <v>333</v>
      </c>
      <c r="C318" s="25"/>
      <c r="D318" s="162"/>
      <c r="E318" s="26"/>
      <c r="F318" s="67"/>
      <c r="G318" s="36"/>
      <c r="H318" s="28"/>
      <c r="I318" s="38"/>
      <c r="J318" s="39"/>
      <c r="L318" s="40">
        <f t="shared" si="16"/>
        <v>0</v>
      </c>
      <c r="M318" s="30">
        <f t="shared" si="13"/>
        <v>0</v>
      </c>
    </row>
    <row r="319" spans="1:13" s="30" customFormat="1" ht="18.75">
      <c r="A319" s="32">
        <v>140100</v>
      </c>
      <c r="B319" s="66" t="s">
        <v>100</v>
      </c>
      <c r="C319" s="61"/>
      <c r="D319" s="55"/>
      <c r="E319" s="35"/>
      <c r="F319" s="35"/>
      <c r="G319" s="36"/>
      <c r="H319" s="28"/>
      <c r="I319" s="38"/>
      <c r="J319" s="39"/>
      <c r="L319" s="40">
        <f t="shared" si="16"/>
        <v>0</v>
      </c>
      <c r="M319" s="30">
        <f t="shared" si="13"/>
        <v>0</v>
      </c>
    </row>
    <row r="320" spans="1:13" s="30" customFormat="1" ht="31.5">
      <c r="A320" s="41">
        <v>140101</v>
      </c>
      <c r="B320" s="49" t="s">
        <v>334</v>
      </c>
      <c r="C320" s="34" t="s">
        <v>15</v>
      </c>
      <c r="D320" s="55">
        <f>(1.82*3*2+2.11*3*2)*2</f>
        <v>47.16</v>
      </c>
      <c r="E320" s="35">
        <v>26.65</v>
      </c>
      <c r="F320" s="35">
        <f>ROUND(E320*1.2288,2)</f>
        <v>32.75</v>
      </c>
      <c r="G320" s="36">
        <f>ROUND(F320*D320,2)</f>
        <v>1544.49</v>
      </c>
      <c r="H320" s="53" t="s">
        <v>335</v>
      </c>
      <c r="I320" s="38" t="s">
        <v>196</v>
      </c>
      <c r="J320" s="39"/>
      <c r="L320" s="40">
        <f t="shared" si="16"/>
        <v>1544.4899999999998</v>
      </c>
      <c r="M320" s="30">
        <f t="shared" si="13"/>
        <v>1256.8139999999999</v>
      </c>
    </row>
    <row r="321" spans="1:13" s="30" customFormat="1" ht="78.75" customHeight="1">
      <c r="A321" s="41"/>
      <c r="B321" s="42" t="s">
        <v>336</v>
      </c>
      <c r="C321" s="34"/>
      <c r="D321" s="55"/>
      <c r="E321" s="35"/>
      <c r="F321" s="35"/>
      <c r="G321" s="36"/>
      <c r="H321" s="28"/>
      <c r="I321" s="38"/>
      <c r="J321" s="39"/>
      <c r="L321" s="40">
        <f t="shared" si="16"/>
        <v>0</v>
      </c>
      <c r="M321" s="30">
        <f t="shared" si="13"/>
        <v>0</v>
      </c>
    </row>
    <row r="322" spans="1:13" s="30" customFormat="1" ht="18.75">
      <c r="A322" s="41"/>
      <c r="B322" s="42"/>
      <c r="C322" s="34"/>
      <c r="D322" s="55"/>
      <c r="E322" s="35"/>
      <c r="F322" s="35"/>
      <c r="G322" s="36"/>
      <c r="H322" s="28"/>
      <c r="I322" s="38"/>
      <c r="J322" s="39"/>
      <c r="L322" s="40">
        <f t="shared" si="16"/>
        <v>0</v>
      </c>
      <c r="M322" s="30">
        <f t="shared" si="13"/>
        <v>0</v>
      </c>
    </row>
    <row r="323" spans="1:13" s="30" customFormat="1" ht="126">
      <c r="A323" s="41" t="s">
        <v>337</v>
      </c>
      <c r="B323" s="49" t="s">
        <v>338</v>
      </c>
      <c r="C323" s="34" t="s">
        <v>15</v>
      </c>
      <c r="D323" s="55">
        <v>440.54</v>
      </c>
      <c r="E323" s="35">
        <v>26.09</v>
      </c>
      <c r="F323" s="35">
        <f>ROUND(E323*1.2288,2)</f>
        <v>32.06</v>
      </c>
      <c r="G323" s="36">
        <f>ROUND(F323*D323,2)</f>
        <v>14123.71</v>
      </c>
      <c r="H323" s="28" t="s">
        <v>339</v>
      </c>
      <c r="I323" s="38"/>
      <c r="J323" s="39"/>
      <c r="L323" s="40">
        <f t="shared" si="16"/>
        <v>14123.712400000002</v>
      </c>
      <c r="M323" s="30">
        <f t="shared" si="13"/>
        <v>11493.688600000001</v>
      </c>
    </row>
    <row r="324" spans="1:13" s="30" customFormat="1" ht="81" customHeight="1">
      <c r="A324" s="41"/>
      <c r="B324" s="42" t="s">
        <v>340</v>
      </c>
      <c r="C324" s="34"/>
      <c r="D324" s="55"/>
      <c r="E324" s="35"/>
      <c r="F324" s="35"/>
      <c r="G324" s="36"/>
      <c r="H324" s="28"/>
      <c r="I324" s="38"/>
      <c r="J324" s="39"/>
      <c r="L324" s="40">
        <f t="shared" si="16"/>
        <v>0</v>
      </c>
      <c r="M324" s="30">
        <f t="shared" si="13"/>
        <v>0</v>
      </c>
    </row>
    <row r="325" spans="1:13" s="30" customFormat="1" ht="18.75">
      <c r="A325" s="41"/>
      <c r="B325" s="42"/>
      <c r="C325" s="34"/>
      <c r="D325" s="55"/>
      <c r="E325" s="35"/>
      <c r="F325" s="35"/>
      <c r="G325" s="36"/>
      <c r="H325" s="28"/>
      <c r="I325" s="38"/>
      <c r="J325" s="39"/>
      <c r="L325" s="40">
        <f t="shared" si="16"/>
        <v>0</v>
      </c>
      <c r="M325" s="30">
        <f t="shared" si="13"/>
        <v>0</v>
      </c>
    </row>
    <row r="326" spans="1:13" s="30" customFormat="1" ht="18.75">
      <c r="A326" s="41"/>
      <c r="B326" s="42"/>
      <c r="C326" s="34"/>
      <c r="D326" s="55"/>
      <c r="E326" s="35"/>
      <c r="F326" s="35"/>
      <c r="G326" s="36"/>
      <c r="H326" s="28"/>
      <c r="I326" s="38"/>
      <c r="J326" s="39"/>
      <c r="L326" s="40">
        <f t="shared" si="16"/>
        <v>0</v>
      </c>
      <c r="M326" s="30">
        <f t="shared" si="13"/>
        <v>0</v>
      </c>
    </row>
    <row r="327" spans="1:13" s="30" customFormat="1" ht="110.25">
      <c r="A327" s="41" t="s">
        <v>341</v>
      </c>
      <c r="B327" s="49" t="s">
        <v>342</v>
      </c>
      <c r="C327" s="34" t="s">
        <v>15</v>
      </c>
      <c r="D327" s="55">
        <f>(28-4.7-1.6)*1.5*4+18*3+18*1.5*2+21.62*4*0.5+(3.75+1.66)*0.5*2+2.58*3+2.58*2.5*2+4.5*4*3+3.74*2.35*2+1.24*2.5+8.24*0.52+4.7*2*3+4.78*3*3+1.82*4+4.78*1.82+3.74*2.58-1.6*1.5+4.78*1+2.02*1</f>
        <v>487.7015999999999</v>
      </c>
      <c r="E327" s="35">
        <v>7.04</v>
      </c>
      <c r="F327" s="35">
        <f>ROUND(E327*1.2288,2)</f>
        <v>8.65</v>
      </c>
      <c r="G327" s="36">
        <f>ROUND(F327*D327,2)</f>
        <v>4218.62</v>
      </c>
      <c r="H327" s="28" t="s">
        <v>343</v>
      </c>
      <c r="I327" s="38"/>
      <c r="J327" s="39"/>
      <c r="L327" s="40">
        <f t="shared" si="16"/>
        <v>4218.618839999999</v>
      </c>
      <c r="M327" s="30">
        <f t="shared" si="13"/>
        <v>3433.4192639999997</v>
      </c>
    </row>
    <row r="328" spans="1:13" s="30" customFormat="1" ht="78.75">
      <c r="A328" s="41"/>
      <c r="B328" s="42" t="s">
        <v>344</v>
      </c>
      <c r="C328" s="34"/>
      <c r="D328" s="55"/>
      <c r="E328" s="35"/>
      <c r="F328" s="35"/>
      <c r="G328" s="36"/>
      <c r="H328" s="28"/>
      <c r="I328" s="38"/>
      <c r="J328" s="39"/>
      <c r="L328" s="40">
        <f t="shared" si="16"/>
        <v>0</v>
      </c>
      <c r="M328" s="30">
        <f t="shared" si="13"/>
        <v>0</v>
      </c>
    </row>
    <row r="329" spans="1:13" s="30" customFormat="1" ht="18.75">
      <c r="A329" s="41"/>
      <c r="B329" s="49"/>
      <c r="C329" s="34"/>
      <c r="D329" s="55"/>
      <c r="E329" s="35"/>
      <c r="F329" s="35"/>
      <c r="G329" s="36"/>
      <c r="H329" s="28"/>
      <c r="I329" s="38"/>
      <c r="J329" s="39"/>
      <c r="L329" s="40">
        <f t="shared" si="16"/>
        <v>0</v>
      </c>
      <c r="M329" s="30">
        <f t="shared" si="13"/>
        <v>0</v>
      </c>
    </row>
    <row r="330" spans="1:13" s="30" customFormat="1" ht="18.75">
      <c r="A330" s="41"/>
      <c r="B330" s="49"/>
      <c r="C330" s="34"/>
      <c r="D330" s="55"/>
      <c r="E330" s="35"/>
      <c r="F330" s="35"/>
      <c r="G330" s="36"/>
      <c r="H330" s="28"/>
      <c r="I330" s="38"/>
      <c r="J330" s="39"/>
      <c r="L330" s="40">
        <f t="shared" si="16"/>
        <v>0</v>
      </c>
      <c r="M330" s="30">
        <f t="shared" si="13"/>
        <v>0</v>
      </c>
    </row>
    <row r="331" spans="1:13" s="30" customFormat="1" ht="31.5">
      <c r="A331" s="41" t="s">
        <v>345</v>
      </c>
      <c r="B331" s="74" t="s">
        <v>346</v>
      </c>
      <c r="C331" s="34" t="s">
        <v>15</v>
      </c>
      <c r="D331" s="55">
        <f>D320</f>
        <v>47.16</v>
      </c>
      <c r="E331" s="35">
        <v>52.15</v>
      </c>
      <c r="F331" s="35">
        <f>ROUND(E331*1.2288,2)</f>
        <v>64.08</v>
      </c>
      <c r="G331" s="36">
        <f>ROUND(F331*D331,2)</f>
        <v>3022.01</v>
      </c>
      <c r="H331" s="53" t="s">
        <v>335</v>
      </c>
      <c r="I331" s="38" t="s">
        <v>196</v>
      </c>
      <c r="J331" s="39"/>
      <c r="L331" s="40">
        <f t="shared" si="16"/>
        <v>3022.0127999999995</v>
      </c>
      <c r="M331" s="30">
        <f t="shared" si="13"/>
        <v>2459.394</v>
      </c>
    </row>
    <row r="332" spans="1:13" s="30" customFormat="1" ht="267.75">
      <c r="A332" s="41"/>
      <c r="B332" s="46" t="s">
        <v>347</v>
      </c>
      <c r="C332" s="34"/>
      <c r="D332" s="55"/>
      <c r="E332" s="35"/>
      <c r="F332" s="35"/>
      <c r="G332" s="36"/>
      <c r="H332" s="28"/>
      <c r="I332" s="38"/>
      <c r="J332" s="39"/>
      <c r="L332" s="40">
        <f t="shared" si="16"/>
        <v>0</v>
      </c>
      <c r="M332" s="30">
        <f t="shared" si="13"/>
        <v>0</v>
      </c>
    </row>
    <row r="333" spans="1:13" s="30" customFormat="1" ht="18.75">
      <c r="A333" s="41"/>
      <c r="B333" s="75"/>
      <c r="C333" s="34"/>
      <c r="D333" s="55"/>
      <c r="E333" s="35"/>
      <c r="F333" s="35"/>
      <c r="G333" s="36"/>
      <c r="H333" s="28"/>
      <c r="I333" s="38"/>
      <c r="J333" s="39"/>
      <c r="L333" s="40">
        <f t="shared" si="16"/>
        <v>0</v>
      </c>
      <c r="M333" s="30">
        <f t="shared" si="13"/>
        <v>0</v>
      </c>
    </row>
    <row r="334" spans="1:13" s="30" customFormat="1" ht="18" customHeight="1">
      <c r="A334" s="69"/>
      <c r="B334" s="54"/>
      <c r="C334" s="190" t="s">
        <v>34</v>
      </c>
      <c r="D334" s="190"/>
      <c r="E334" s="190"/>
      <c r="F334" s="142"/>
      <c r="G334" s="51">
        <f>SUM(G320:G333)</f>
        <v>22908.83</v>
      </c>
      <c r="H334" s="28"/>
      <c r="I334" s="38"/>
      <c r="J334" s="39"/>
      <c r="L334" s="152">
        <f>SUM(L319:L332)</f>
        <v>22908.83404</v>
      </c>
      <c r="M334" s="30">
        <f aca="true" t="shared" si="17" ref="M334:M399">D334*E334</f>
        <v>0</v>
      </c>
    </row>
    <row r="335" spans="1:13" s="30" customFormat="1" ht="18.75">
      <c r="A335" s="23">
        <v>150000</v>
      </c>
      <c r="B335" s="24" t="s">
        <v>348</v>
      </c>
      <c r="C335" s="25"/>
      <c r="D335" s="162"/>
      <c r="E335" s="35"/>
      <c r="F335" s="35"/>
      <c r="G335" s="36"/>
      <c r="H335" s="28"/>
      <c r="I335" s="38"/>
      <c r="J335" s="39"/>
      <c r="L335" s="40">
        <f t="shared" si="16"/>
        <v>0</v>
      </c>
      <c r="M335" s="30">
        <f t="shared" si="17"/>
        <v>0</v>
      </c>
    </row>
    <row r="336" spans="1:13" s="30" customFormat="1" ht="18.75">
      <c r="A336" s="32">
        <v>150100</v>
      </c>
      <c r="B336" s="66" t="s">
        <v>349</v>
      </c>
      <c r="C336" s="61"/>
      <c r="D336" s="55"/>
      <c r="E336" s="35"/>
      <c r="F336" s="35"/>
      <c r="G336" s="36"/>
      <c r="H336" s="28"/>
      <c r="I336" s="38"/>
      <c r="J336" s="39"/>
      <c r="L336" s="40">
        <f t="shared" si="16"/>
        <v>0</v>
      </c>
      <c r="M336" s="30">
        <f t="shared" si="17"/>
        <v>0</v>
      </c>
    </row>
    <row r="337" spans="1:13" s="30" customFormat="1" ht="18.75">
      <c r="A337" s="41"/>
      <c r="B337" s="42"/>
      <c r="C337" s="34"/>
      <c r="D337" s="55"/>
      <c r="E337" s="35"/>
      <c r="F337" s="35"/>
      <c r="G337" s="36"/>
      <c r="H337" s="28"/>
      <c r="I337" s="38"/>
      <c r="J337" s="39"/>
      <c r="L337" s="40">
        <f t="shared" si="16"/>
        <v>0</v>
      </c>
      <c r="M337" s="30">
        <f t="shared" si="17"/>
        <v>0</v>
      </c>
    </row>
    <row r="338" spans="1:13" s="30" customFormat="1" ht="47.25">
      <c r="A338" s="41" t="s">
        <v>350</v>
      </c>
      <c r="B338" s="45" t="s">
        <v>351</v>
      </c>
      <c r="C338" s="34" t="s">
        <v>25</v>
      </c>
      <c r="D338" s="55">
        <v>7.68</v>
      </c>
      <c r="E338" s="35">
        <v>74.38</v>
      </c>
      <c r="F338" s="35">
        <f>ROUND(E338*1.2288,2)</f>
        <v>91.4</v>
      </c>
      <c r="G338" s="36">
        <f>ROUND(F338*D338,2)</f>
        <v>701.95</v>
      </c>
      <c r="H338" s="28" t="s">
        <v>352</v>
      </c>
      <c r="I338" s="38" t="s">
        <v>178</v>
      </c>
      <c r="J338" s="39"/>
      <c r="L338" s="40">
        <f t="shared" si="16"/>
        <v>701.952</v>
      </c>
      <c r="M338" s="30">
        <f t="shared" si="17"/>
        <v>571.2384</v>
      </c>
    </row>
    <row r="339" spans="1:13" s="30" customFormat="1" ht="327.75" customHeight="1">
      <c r="A339" s="41"/>
      <c r="B339" s="42" t="s">
        <v>353</v>
      </c>
      <c r="C339" s="34"/>
      <c r="D339" s="55"/>
      <c r="E339" s="35"/>
      <c r="F339" s="35"/>
      <c r="G339" s="36"/>
      <c r="H339" s="28"/>
      <c r="I339" s="38"/>
      <c r="J339" s="39"/>
      <c r="L339" s="40">
        <f t="shared" si="16"/>
        <v>0</v>
      </c>
      <c r="M339" s="30">
        <f t="shared" si="17"/>
        <v>0</v>
      </c>
    </row>
    <row r="340" spans="1:13" s="30" customFormat="1" ht="18.75">
      <c r="A340" s="41"/>
      <c r="B340" s="42"/>
      <c r="C340" s="34"/>
      <c r="D340" s="55"/>
      <c r="E340" s="35"/>
      <c r="F340" s="35"/>
      <c r="G340" s="36"/>
      <c r="H340" s="28"/>
      <c r="I340" s="38"/>
      <c r="J340" s="39"/>
      <c r="L340" s="40">
        <f t="shared" si="16"/>
        <v>0</v>
      </c>
      <c r="M340" s="30">
        <f t="shared" si="17"/>
        <v>0</v>
      </c>
    </row>
    <row r="341" spans="1:13" s="30" customFormat="1" ht="18.75">
      <c r="A341" s="41"/>
      <c r="B341" s="49"/>
      <c r="C341" s="61"/>
      <c r="D341" s="55"/>
      <c r="E341" s="35"/>
      <c r="F341" s="35"/>
      <c r="G341" s="36"/>
      <c r="H341" s="28"/>
      <c r="I341" s="38"/>
      <c r="J341" s="39"/>
      <c r="L341" s="40">
        <f t="shared" si="16"/>
        <v>0</v>
      </c>
      <c r="M341" s="30">
        <f t="shared" si="17"/>
        <v>0</v>
      </c>
    </row>
    <row r="342" spans="1:13" s="30" customFormat="1" ht="56.25">
      <c r="A342" s="41" t="s">
        <v>354</v>
      </c>
      <c r="B342" s="49" t="s">
        <v>355</v>
      </c>
      <c r="C342" s="61" t="s">
        <v>15</v>
      </c>
      <c r="D342" s="55">
        <f>31*2*0.4+21*2*0.4+1.5*8*0.4+1.24*0.4+2.5*0.4+0.6*0.4*2+1.36*0.4</f>
        <v>48.92</v>
      </c>
      <c r="E342" s="35">
        <v>77.91</v>
      </c>
      <c r="F342" s="35">
        <f>ROUND(E342*1.2288,2)</f>
        <v>95.74</v>
      </c>
      <c r="G342" s="36">
        <f>ROUND(F342*D342,2)</f>
        <v>4683.6</v>
      </c>
      <c r="H342" s="56" t="s">
        <v>356</v>
      </c>
      <c r="I342" s="38" t="s">
        <v>357</v>
      </c>
      <c r="J342" s="39"/>
      <c r="L342" s="40">
        <f t="shared" si="16"/>
        <v>4683.6008</v>
      </c>
      <c r="M342" s="30">
        <f t="shared" si="17"/>
        <v>3811.3572</v>
      </c>
    </row>
    <row r="343" spans="1:13" s="30" customFormat="1" ht="141.75">
      <c r="A343" s="41"/>
      <c r="B343" s="42" t="s">
        <v>358</v>
      </c>
      <c r="C343" s="61"/>
      <c r="D343" s="55"/>
      <c r="E343" s="35"/>
      <c r="F343" s="35"/>
      <c r="G343" s="36"/>
      <c r="H343" s="28"/>
      <c r="I343" s="38"/>
      <c r="J343" s="39"/>
      <c r="L343" s="40">
        <f t="shared" si="16"/>
        <v>0</v>
      </c>
      <c r="M343" s="30">
        <f t="shared" si="17"/>
        <v>0</v>
      </c>
    </row>
    <row r="344" spans="1:13" s="30" customFormat="1" ht="18.75">
      <c r="A344" s="41"/>
      <c r="B344" s="42"/>
      <c r="C344" s="61"/>
      <c r="D344" s="55"/>
      <c r="E344" s="35"/>
      <c r="F344" s="35"/>
      <c r="G344" s="36"/>
      <c r="H344" s="28"/>
      <c r="I344" s="38"/>
      <c r="J344" s="39"/>
      <c r="L344" s="40">
        <f t="shared" si="16"/>
        <v>0</v>
      </c>
      <c r="M344" s="30">
        <f t="shared" si="17"/>
        <v>0</v>
      </c>
    </row>
    <row r="345" spans="1:13" s="30" customFormat="1" ht="18.75">
      <c r="A345" s="41" t="s">
        <v>359</v>
      </c>
      <c r="B345" s="60" t="s">
        <v>360</v>
      </c>
      <c r="C345" s="34"/>
      <c r="D345" s="55"/>
      <c r="E345" s="35"/>
      <c r="F345" s="35"/>
      <c r="G345" s="36"/>
      <c r="H345" s="28"/>
      <c r="I345" s="38"/>
      <c r="J345" s="39"/>
      <c r="L345" s="40">
        <f t="shared" si="16"/>
        <v>0</v>
      </c>
      <c r="M345" s="30">
        <f t="shared" si="17"/>
        <v>0</v>
      </c>
    </row>
    <row r="346" spans="1:13" s="30" customFormat="1" ht="21">
      <c r="A346" s="41" t="s">
        <v>361</v>
      </c>
      <c r="B346" s="49" t="s">
        <v>77</v>
      </c>
      <c r="C346" s="34" t="s">
        <v>25</v>
      </c>
      <c r="D346" s="55">
        <v>8.14</v>
      </c>
      <c r="E346" s="35">
        <v>44.98</v>
      </c>
      <c r="F346" s="35">
        <f>+E346*1.2288</f>
        <v>55.27142399999999</v>
      </c>
      <c r="G346" s="36">
        <f>+F346*D346</f>
        <v>449.9093913599999</v>
      </c>
      <c r="H346" s="28" t="s">
        <v>362</v>
      </c>
      <c r="I346" s="38" t="s">
        <v>363</v>
      </c>
      <c r="J346" s="39"/>
      <c r="K346" s="149"/>
      <c r="L346" s="40">
        <f t="shared" si="16"/>
        <v>449.9093913599999</v>
      </c>
      <c r="M346" s="30">
        <f t="shared" si="17"/>
        <v>366.1372</v>
      </c>
    </row>
    <row r="347" spans="1:13" s="30" customFormat="1" ht="47.25">
      <c r="A347" s="41"/>
      <c r="B347" s="42" t="s">
        <v>364</v>
      </c>
      <c r="C347" s="34"/>
      <c r="D347" s="55"/>
      <c r="E347" s="35"/>
      <c r="F347" s="35"/>
      <c r="G347" s="36"/>
      <c r="H347" s="28"/>
      <c r="I347" s="38"/>
      <c r="J347" s="39"/>
      <c r="K347" s="149"/>
      <c r="L347" s="40">
        <f t="shared" si="16"/>
        <v>0</v>
      </c>
      <c r="M347" s="30">
        <f t="shared" si="17"/>
        <v>0</v>
      </c>
    </row>
    <row r="348" spans="1:12" s="30" customFormat="1" ht="18.75">
      <c r="A348" s="41"/>
      <c r="B348" s="42"/>
      <c r="C348" s="34"/>
      <c r="D348" s="55"/>
      <c r="E348" s="35"/>
      <c r="F348" s="35"/>
      <c r="G348" s="36"/>
      <c r="H348" s="28"/>
      <c r="I348" s="38"/>
      <c r="J348" s="39"/>
      <c r="L348" s="40"/>
    </row>
    <row r="349" spans="1:12" s="30" customFormat="1" ht="18.75" hidden="1">
      <c r="A349" s="41" t="s">
        <v>534</v>
      </c>
      <c r="B349" s="42"/>
      <c r="C349" s="34"/>
      <c r="D349" s="55"/>
      <c r="E349" s="35"/>
      <c r="F349" s="35"/>
      <c r="G349" s="36"/>
      <c r="H349" s="28"/>
      <c r="I349" s="38"/>
      <c r="J349" s="39"/>
      <c r="L349" s="40"/>
    </row>
    <row r="350" spans="1:13" s="30" customFormat="1" ht="18.75" hidden="1">
      <c r="A350" s="41"/>
      <c r="B350" s="42"/>
      <c r="C350" s="34"/>
      <c r="D350" s="55"/>
      <c r="E350" s="35"/>
      <c r="F350" s="35"/>
      <c r="G350" s="36"/>
      <c r="H350" s="28"/>
      <c r="I350" s="38"/>
      <c r="J350" s="39"/>
      <c r="L350" s="40">
        <f t="shared" si="16"/>
        <v>0</v>
      </c>
      <c r="M350" s="30">
        <f t="shared" si="17"/>
        <v>0</v>
      </c>
    </row>
    <row r="351" spans="1:13" s="30" customFormat="1" ht="18.75" hidden="1">
      <c r="A351" s="41"/>
      <c r="B351" s="42"/>
      <c r="C351" s="34"/>
      <c r="D351" s="55"/>
      <c r="E351" s="35"/>
      <c r="F351" s="35"/>
      <c r="G351" s="36"/>
      <c r="H351" s="28"/>
      <c r="I351" s="38"/>
      <c r="J351" s="39"/>
      <c r="L351" s="40">
        <f t="shared" si="16"/>
        <v>0</v>
      </c>
      <c r="M351" s="30">
        <f t="shared" si="17"/>
        <v>0</v>
      </c>
    </row>
    <row r="352" spans="1:16" s="30" customFormat="1" ht="63">
      <c r="A352" s="41" t="s">
        <v>365</v>
      </c>
      <c r="B352" s="49" t="s">
        <v>366</v>
      </c>
      <c r="C352" s="34" t="s">
        <v>25</v>
      </c>
      <c r="D352" s="55">
        <v>269.64</v>
      </c>
      <c r="E352" s="35">
        <v>55.2</v>
      </c>
      <c r="F352" s="35">
        <f>+E352*1.2288</f>
        <v>67.82976</v>
      </c>
      <c r="G352" s="36">
        <f>+F352*D352</f>
        <v>18289.6164864</v>
      </c>
      <c r="H352" s="28" t="s">
        <v>367</v>
      </c>
      <c r="I352" s="38" t="s">
        <v>368</v>
      </c>
      <c r="J352" s="39"/>
      <c r="K352" s="150"/>
      <c r="L352" s="40">
        <f t="shared" si="16"/>
        <v>18289.6164864</v>
      </c>
      <c r="M352" s="30">
        <f t="shared" si="17"/>
        <v>14884.128</v>
      </c>
      <c r="N352" s="151"/>
      <c r="O352" s="151"/>
      <c r="P352" s="151"/>
    </row>
    <row r="353" spans="1:16" s="30" customFormat="1" ht="78.75">
      <c r="A353" s="41"/>
      <c r="B353" s="42" t="s">
        <v>369</v>
      </c>
      <c r="C353" s="34"/>
      <c r="D353" s="55"/>
      <c r="E353" s="35"/>
      <c r="F353" s="35"/>
      <c r="G353" s="36"/>
      <c r="H353" s="28"/>
      <c r="I353" s="38"/>
      <c r="J353" s="39"/>
      <c r="K353" s="150"/>
      <c r="L353" s="40">
        <f t="shared" si="16"/>
        <v>0</v>
      </c>
      <c r="M353" s="30">
        <f t="shared" si="17"/>
        <v>0</v>
      </c>
      <c r="N353" s="151"/>
      <c r="O353" s="151"/>
      <c r="P353" s="151"/>
    </row>
    <row r="354" spans="1:16" s="30" customFormat="1" ht="20.25">
      <c r="A354" s="41"/>
      <c r="B354" s="42"/>
      <c r="C354" s="59"/>
      <c r="D354" s="55"/>
      <c r="E354" s="77"/>
      <c r="F354" s="77"/>
      <c r="G354" s="36"/>
      <c r="H354" s="28"/>
      <c r="I354" s="38"/>
      <c r="J354" s="39"/>
      <c r="K354" s="78"/>
      <c r="L354" s="152">
        <f>SUM(L336:L353)</f>
        <v>24125.07867776</v>
      </c>
      <c r="M354" s="30">
        <f t="shared" si="17"/>
        <v>0</v>
      </c>
      <c r="N354" s="78"/>
      <c r="O354" s="78"/>
      <c r="P354" s="78"/>
    </row>
    <row r="355" spans="1:13" s="30" customFormat="1" ht="18" customHeight="1">
      <c r="A355" s="69"/>
      <c r="B355" s="54"/>
      <c r="C355" s="190" t="s">
        <v>34</v>
      </c>
      <c r="D355" s="190"/>
      <c r="E355" s="190"/>
      <c r="F355" s="142"/>
      <c r="G355" s="51">
        <f>SUM(G335:G354)</f>
        <v>24125.07587776</v>
      </c>
      <c r="H355" s="28"/>
      <c r="I355" s="38"/>
      <c r="J355" s="39"/>
      <c r="L355" s="40"/>
      <c r="M355" s="30">
        <f t="shared" si="17"/>
        <v>0</v>
      </c>
    </row>
    <row r="356" spans="1:13" s="30" customFormat="1" ht="18.75">
      <c r="A356" s="79">
        <v>170000</v>
      </c>
      <c r="B356" s="24" t="s">
        <v>370</v>
      </c>
      <c r="C356" s="80"/>
      <c r="D356" s="162"/>
      <c r="E356" s="26"/>
      <c r="F356" s="67"/>
      <c r="G356" s="36"/>
      <c r="H356" s="28"/>
      <c r="I356" s="38"/>
      <c r="J356" s="39"/>
      <c r="L356" s="40"/>
      <c r="M356" s="30">
        <f t="shared" si="17"/>
        <v>0</v>
      </c>
    </row>
    <row r="357" spans="1:13" s="30" customFormat="1" ht="18.75">
      <c r="A357" s="81">
        <v>170100</v>
      </c>
      <c r="B357" s="66" t="s">
        <v>371</v>
      </c>
      <c r="C357" s="61"/>
      <c r="D357" s="55"/>
      <c r="E357" s="35"/>
      <c r="F357" s="35"/>
      <c r="G357" s="36"/>
      <c r="H357" s="28"/>
      <c r="I357" s="38"/>
      <c r="J357" s="39"/>
      <c r="L357" s="40"/>
      <c r="M357" s="30">
        <f t="shared" si="17"/>
        <v>0</v>
      </c>
    </row>
    <row r="358" spans="1:13" s="30" customFormat="1" ht="18.75">
      <c r="A358" s="82"/>
      <c r="B358" s="49"/>
      <c r="C358" s="34"/>
      <c r="D358" s="55"/>
      <c r="E358" s="35"/>
      <c r="F358" s="35"/>
      <c r="G358" s="36"/>
      <c r="H358" s="28"/>
      <c r="I358" s="38"/>
      <c r="J358" s="39"/>
      <c r="L358" s="40"/>
      <c r="M358" s="30">
        <f t="shared" si="17"/>
        <v>0</v>
      </c>
    </row>
    <row r="359" spans="1:13" s="30" customFormat="1" ht="21">
      <c r="A359" s="82">
        <v>170103</v>
      </c>
      <c r="B359" s="49" t="s">
        <v>372</v>
      </c>
      <c r="C359" s="34" t="s">
        <v>25</v>
      </c>
      <c r="D359" s="55">
        <v>17.33</v>
      </c>
      <c r="E359" s="35">
        <v>16.66</v>
      </c>
      <c r="F359" s="35">
        <f>ROUND(E359*1.2288,2)</f>
        <v>20.47</v>
      </c>
      <c r="G359" s="36">
        <f>ROUND(F359*D359,2)</f>
        <v>354.75</v>
      </c>
      <c r="H359" s="56" t="s">
        <v>373</v>
      </c>
      <c r="I359" s="38" t="s">
        <v>374</v>
      </c>
      <c r="J359" s="39"/>
      <c r="L359" s="40">
        <f aca="true" t="shared" si="18" ref="L359:L364">D359*F359</f>
        <v>354.7450999999999</v>
      </c>
      <c r="M359" s="30">
        <f t="shared" si="17"/>
        <v>288.71779999999995</v>
      </c>
    </row>
    <row r="360" spans="1:13" s="30" customFormat="1" ht="139.5" customHeight="1">
      <c r="A360" s="82"/>
      <c r="B360" s="42" t="s">
        <v>375</v>
      </c>
      <c r="C360" s="34"/>
      <c r="D360" s="55"/>
      <c r="E360" s="35"/>
      <c r="F360" s="35"/>
      <c r="G360" s="36"/>
      <c r="H360" s="28"/>
      <c r="I360" s="38"/>
      <c r="J360" s="39"/>
      <c r="L360" s="40">
        <f t="shared" si="18"/>
        <v>0</v>
      </c>
      <c r="M360" s="30">
        <f t="shared" si="17"/>
        <v>0</v>
      </c>
    </row>
    <row r="361" spans="1:13" s="30" customFormat="1" ht="18.75">
      <c r="A361" s="82"/>
      <c r="B361" s="42"/>
      <c r="C361" s="34"/>
      <c r="D361" s="55"/>
      <c r="E361" s="35"/>
      <c r="F361" s="35"/>
      <c r="G361" s="36"/>
      <c r="H361" s="28"/>
      <c r="I361" s="38"/>
      <c r="J361" s="39"/>
      <c r="L361" s="40">
        <f t="shared" si="18"/>
        <v>0</v>
      </c>
      <c r="M361" s="30">
        <f t="shared" si="17"/>
        <v>0</v>
      </c>
    </row>
    <row r="362" spans="1:13" s="30" customFormat="1" ht="18.75">
      <c r="A362" s="82"/>
      <c r="B362" s="42"/>
      <c r="C362" s="34"/>
      <c r="D362" s="55"/>
      <c r="E362" s="35"/>
      <c r="F362" s="35"/>
      <c r="G362" s="36"/>
      <c r="H362" s="28"/>
      <c r="I362" s="38"/>
      <c r="J362" s="39"/>
      <c r="L362" s="40">
        <f t="shared" si="18"/>
        <v>0</v>
      </c>
      <c r="M362" s="30">
        <f t="shared" si="17"/>
        <v>0</v>
      </c>
    </row>
    <row r="363" spans="1:13" s="30" customFormat="1" ht="118.5" customHeight="1">
      <c r="A363" s="82">
        <v>170203</v>
      </c>
      <c r="B363" s="49" t="s">
        <v>376</v>
      </c>
      <c r="C363" s="34" t="s">
        <v>15</v>
      </c>
      <c r="D363" s="55">
        <v>423.21</v>
      </c>
      <c r="E363" s="35">
        <v>21.9</v>
      </c>
      <c r="F363" s="35">
        <f>ROUND(E363*1.2288,2)</f>
        <v>26.91</v>
      </c>
      <c r="G363" s="36">
        <f>ROUND(F363*D363,2)</f>
        <v>11388.58</v>
      </c>
      <c r="H363" s="175" t="s">
        <v>377</v>
      </c>
      <c r="I363" s="38" t="s">
        <v>103</v>
      </c>
      <c r="J363" s="39"/>
      <c r="L363" s="40">
        <f t="shared" si="18"/>
        <v>11388.5811</v>
      </c>
      <c r="M363" s="30">
        <f t="shared" si="17"/>
        <v>9268.298999999999</v>
      </c>
    </row>
    <row r="364" spans="1:13" s="30" customFormat="1" ht="110.25">
      <c r="A364" s="82"/>
      <c r="B364" s="42" t="s">
        <v>378</v>
      </c>
      <c r="C364" s="34"/>
      <c r="D364" s="55"/>
      <c r="E364" s="35"/>
      <c r="F364" s="35"/>
      <c r="G364" s="36"/>
      <c r="H364" s="175"/>
      <c r="I364" s="38"/>
      <c r="J364" s="39"/>
      <c r="L364" s="40">
        <f t="shared" si="18"/>
        <v>0</v>
      </c>
      <c r="M364" s="30">
        <f t="shared" si="17"/>
        <v>0</v>
      </c>
    </row>
    <row r="365" spans="1:13" s="30" customFormat="1" ht="18.75">
      <c r="A365" s="82"/>
      <c r="B365" s="49"/>
      <c r="C365" s="34"/>
      <c r="D365" s="55"/>
      <c r="E365" s="35"/>
      <c r="F365" s="35"/>
      <c r="G365" s="36"/>
      <c r="H365" s="28"/>
      <c r="I365" s="38"/>
      <c r="J365" s="39"/>
      <c r="L365" s="152">
        <f>SUM(L357:L364)</f>
        <v>11743.3262</v>
      </c>
      <c r="M365" s="30">
        <f t="shared" si="17"/>
        <v>0</v>
      </c>
    </row>
    <row r="366" spans="1:13" s="30" customFormat="1" ht="18" customHeight="1">
      <c r="A366" s="83"/>
      <c r="B366" s="84"/>
      <c r="C366" s="190" t="s">
        <v>34</v>
      </c>
      <c r="D366" s="190"/>
      <c r="E366" s="190"/>
      <c r="F366" s="142"/>
      <c r="G366" s="51">
        <f>SUM(G358:G365)</f>
        <v>11743.33</v>
      </c>
      <c r="H366" s="28"/>
      <c r="I366" s="38"/>
      <c r="J366" s="39"/>
      <c r="L366" s="40"/>
      <c r="M366" s="30">
        <f t="shared" si="17"/>
        <v>0</v>
      </c>
    </row>
    <row r="367" spans="1:13" s="30" customFormat="1" ht="18.75">
      <c r="A367" s="23">
        <v>180000</v>
      </c>
      <c r="B367" s="24" t="s">
        <v>379</v>
      </c>
      <c r="C367" s="65"/>
      <c r="D367" s="162"/>
      <c r="E367" s="26"/>
      <c r="F367" s="67"/>
      <c r="G367" s="36"/>
      <c r="H367" s="28"/>
      <c r="I367" s="38"/>
      <c r="J367" s="39"/>
      <c r="L367" s="40"/>
      <c r="M367" s="30">
        <f t="shared" si="17"/>
        <v>0</v>
      </c>
    </row>
    <row r="368" spans="1:13" s="30" customFormat="1" ht="18.75">
      <c r="A368" s="32">
        <v>180100</v>
      </c>
      <c r="B368" s="66" t="s">
        <v>380</v>
      </c>
      <c r="C368" s="61"/>
      <c r="D368" s="55"/>
      <c r="E368" s="35"/>
      <c r="F368" s="35"/>
      <c r="G368" s="36"/>
      <c r="H368" s="28"/>
      <c r="I368" s="38"/>
      <c r="J368" s="39"/>
      <c r="L368" s="40"/>
      <c r="M368" s="30">
        <f t="shared" si="17"/>
        <v>0</v>
      </c>
    </row>
    <row r="369" spans="1:13" s="30" customFormat="1" ht="18.75">
      <c r="A369" s="41"/>
      <c r="B369" s="49"/>
      <c r="C369" s="34"/>
      <c r="D369" s="55"/>
      <c r="E369" s="35"/>
      <c r="F369" s="35"/>
      <c r="G369" s="36"/>
      <c r="H369" s="28"/>
      <c r="I369" s="38"/>
      <c r="J369" s="39"/>
      <c r="L369" s="40"/>
      <c r="M369" s="30">
        <f t="shared" si="17"/>
        <v>0</v>
      </c>
    </row>
    <row r="370" spans="1:13" s="30" customFormat="1" ht="18" customHeight="1">
      <c r="A370" s="41"/>
      <c r="B370" s="42"/>
      <c r="C370" s="34"/>
      <c r="D370" s="55"/>
      <c r="E370" s="35"/>
      <c r="F370" s="35"/>
      <c r="G370" s="36"/>
      <c r="H370" s="28"/>
      <c r="I370" s="38"/>
      <c r="J370" s="39"/>
      <c r="L370" s="40">
        <f>D370*F370</f>
        <v>0</v>
      </c>
      <c r="M370" s="30">
        <f t="shared" si="17"/>
        <v>0</v>
      </c>
    </row>
    <row r="371" spans="1:13" s="30" customFormat="1" ht="40.5" customHeight="1">
      <c r="A371" s="41" t="s">
        <v>381</v>
      </c>
      <c r="B371" s="49" t="s">
        <v>382</v>
      </c>
      <c r="C371" s="34" t="s">
        <v>15</v>
      </c>
      <c r="D371" s="55">
        <f>1*0.2*2</f>
        <v>0.4</v>
      </c>
      <c r="E371" s="35">
        <v>211.48</v>
      </c>
      <c r="F371" s="35">
        <f>ROUND(E371*1.2288,2)</f>
        <v>259.87</v>
      </c>
      <c r="G371" s="36">
        <f>ROUND(F371*D371,2)</f>
        <v>103.95</v>
      </c>
      <c r="H371" s="28" t="s">
        <v>383</v>
      </c>
      <c r="I371" s="38" t="s">
        <v>178</v>
      </c>
      <c r="J371" s="39"/>
      <c r="L371" s="40">
        <f>D371*F371</f>
        <v>103.94800000000001</v>
      </c>
      <c r="M371" s="30">
        <f t="shared" si="17"/>
        <v>84.592</v>
      </c>
    </row>
    <row r="372" spans="1:13" s="30" customFormat="1" ht="78.75">
      <c r="A372" s="41"/>
      <c r="B372" s="42" t="s">
        <v>384</v>
      </c>
      <c r="C372" s="34"/>
      <c r="D372" s="55"/>
      <c r="E372" s="35"/>
      <c r="F372" s="35"/>
      <c r="G372" s="36"/>
      <c r="H372" s="28"/>
      <c r="I372" s="38"/>
      <c r="J372" s="39"/>
      <c r="L372" s="40">
        <f>D372*F372</f>
        <v>0</v>
      </c>
      <c r="M372" s="30">
        <f t="shared" si="17"/>
        <v>0</v>
      </c>
    </row>
    <row r="373" spans="1:13" s="30" customFormat="1" ht="18.75">
      <c r="A373" s="41"/>
      <c r="B373" s="42"/>
      <c r="C373" s="34"/>
      <c r="D373" s="55"/>
      <c r="E373" s="35"/>
      <c r="F373" s="35"/>
      <c r="G373" s="36"/>
      <c r="H373" s="28"/>
      <c r="I373" s="38"/>
      <c r="J373" s="39"/>
      <c r="L373" s="40">
        <f>D373*F373</f>
        <v>0</v>
      </c>
      <c r="M373" s="30">
        <f t="shared" si="17"/>
        <v>0</v>
      </c>
    </row>
    <row r="374" spans="1:13" s="68" customFormat="1" ht="18.75">
      <c r="A374" s="41"/>
      <c r="B374" s="42"/>
      <c r="C374" s="34"/>
      <c r="D374" s="55"/>
      <c r="E374" s="67"/>
      <c r="F374" s="67"/>
      <c r="G374" s="36"/>
      <c r="H374" s="28"/>
      <c r="I374" s="38"/>
      <c r="J374" s="39"/>
      <c r="L374" s="40">
        <f>D374*F374</f>
        <v>0</v>
      </c>
      <c r="M374" s="30">
        <f t="shared" si="17"/>
        <v>0</v>
      </c>
    </row>
    <row r="375" spans="1:13" s="30" customFormat="1" ht="18.75">
      <c r="A375" s="41"/>
      <c r="B375" s="42"/>
      <c r="C375" s="34"/>
      <c r="D375" s="55"/>
      <c r="E375" s="35"/>
      <c r="F375" s="35"/>
      <c r="G375" s="36"/>
      <c r="H375" s="28"/>
      <c r="I375" s="38"/>
      <c r="J375" s="39"/>
      <c r="L375" s="152">
        <f>G376</f>
        <v>103.95</v>
      </c>
      <c r="M375" s="30">
        <f t="shared" si="17"/>
        <v>0</v>
      </c>
    </row>
    <row r="376" spans="1:13" s="30" customFormat="1" ht="18.75" customHeight="1">
      <c r="A376" s="69"/>
      <c r="B376" s="54"/>
      <c r="C376" s="190" t="s">
        <v>34</v>
      </c>
      <c r="D376" s="190"/>
      <c r="E376" s="190"/>
      <c r="F376" s="142"/>
      <c r="G376" s="51">
        <f>SUM(G369:G375)</f>
        <v>103.95</v>
      </c>
      <c r="H376" s="28"/>
      <c r="I376" s="38"/>
      <c r="J376" s="39"/>
      <c r="L376" s="40"/>
      <c r="M376" s="30">
        <f t="shared" si="17"/>
        <v>0</v>
      </c>
    </row>
    <row r="377" spans="1:13" s="30" customFormat="1" ht="18.75">
      <c r="A377" s="23">
        <v>200000</v>
      </c>
      <c r="B377" s="85" t="s">
        <v>385</v>
      </c>
      <c r="C377" s="65"/>
      <c r="D377" s="162"/>
      <c r="E377" s="26"/>
      <c r="F377" s="67"/>
      <c r="G377" s="36"/>
      <c r="H377" s="28"/>
      <c r="I377" s="38"/>
      <c r="J377" s="39"/>
      <c r="L377" s="40"/>
      <c r="M377" s="30">
        <f t="shared" si="17"/>
        <v>0</v>
      </c>
    </row>
    <row r="378" spans="1:13" s="30" customFormat="1" ht="18.75">
      <c r="A378" s="86">
        <v>200100</v>
      </c>
      <c r="B378" s="66" t="s">
        <v>100</v>
      </c>
      <c r="C378" s="87"/>
      <c r="D378" s="55"/>
      <c r="E378" s="35"/>
      <c r="F378" s="35"/>
      <c r="G378" s="36"/>
      <c r="H378" s="28"/>
      <c r="I378" s="38"/>
      <c r="J378" s="39"/>
      <c r="L378" s="40"/>
      <c r="M378" s="30">
        <f t="shared" si="17"/>
        <v>0</v>
      </c>
    </row>
    <row r="379" spans="1:13" s="30" customFormat="1" ht="18.75">
      <c r="A379" s="41"/>
      <c r="B379" s="42"/>
      <c r="C379" s="61"/>
      <c r="D379" s="55"/>
      <c r="E379" s="35"/>
      <c r="F379" s="35"/>
      <c r="G379" s="36"/>
      <c r="H379" s="28"/>
      <c r="I379" s="38"/>
      <c r="J379" s="39"/>
      <c r="L379" s="40"/>
      <c r="M379" s="30">
        <f t="shared" si="17"/>
        <v>0</v>
      </c>
    </row>
    <row r="380" spans="1:13" s="30" customFormat="1" ht="21">
      <c r="A380" s="82">
        <v>200105</v>
      </c>
      <c r="B380" s="49" t="s">
        <v>386</v>
      </c>
      <c r="C380" s="34" t="s">
        <v>25</v>
      </c>
      <c r="D380" s="55">
        <v>294.03</v>
      </c>
      <c r="E380" s="35">
        <v>18.84</v>
      </c>
      <c r="F380" s="35">
        <f>ROUND(E380*1.2288,2)</f>
        <v>23.15</v>
      </c>
      <c r="G380" s="36">
        <f>ROUND(F380*D380,2)</f>
        <v>6806.79</v>
      </c>
      <c r="H380" s="28" t="s">
        <v>387</v>
      </c>
      <c r="I380" s="38" t="s">
        <v>388</v>
      </c>
      <c r="J380" s="39"/>
      <c r="L380" s="40">
        <f aca="true" t="shared" si="19" ref="L380:L417">D380*F380</f>
        <v>6806.794499999999</v>
      </c>
      <c r="M380" s="30">
        <f t="shared" si="17"/>
        <v>5539.525199999999</v>
      </c>
    </row>
    <row r="381" spans="1:13" s="30" customFormat="1" ht="94.5">
      <c r="A381" s="82"/>
      <c r="B381" s="42" t="s">
        <v>389</v>
      </c>
      <c r="C381" s="34"/>
      <c r="D381" s="55"/>
      <c r="E381" s="35"/>
      <c r="F381" s="35"/>
      <c r="G381" s="36"/>
      <c r="H381" s="28"/>
      <c r="I381" s="38"/>
      <c r="J381" s="39"/>
      <c r="L381" s="40">
        <f t="shared" si="19"/>
        <v>0</v>
      </c>
      <c r="M381" s="30">
        <f t="shared" si="17"/>
        <v>0</v>
      </c>
    </row>
    <row r="382" spans="1:13" s="30" customFormat="1" ht="18.75">
      <c r="A382" s="82"/>
      <c r="B382" s="42"/>
      <c r="C382" s="34"/>
      <c r="D382" s="55"/>
      <c r="E382" s="35"/>
      <c r="F382" s="35"/>
      <c r="G382" s="36"/>
      <c r="H382" s="28"/>
      <c r="I382" s="38"/>
      <c r="J382" s="39"/>
      <c r="L382" s="40">
        <f t="shared" si="19"/>
        <v>0</v>
      </c>
      <c r="M382" s="30">
        <f t="shared" si="17"/>
        <v>0</v>
      </c>
    </row>
    <row r="383" spans="1:13" s="30" customFormat="1" ht="31.5">
      <c r="A383" s="82">
        <v>200106</v>
      </c>
      <c r="B383" s="88" t="s">
        <v>390</v>
      </c>
      <c r="C383" s="34" t="s">
        <v>86</v>
      </c>
      <c r="D383" s="55">
        <v>180</v>
      </c>
      <c r="E383" s="35">
        <v>3.89</v>
      </c>
      <c r="F383" s="35">
        <f>ROUND(E383*1.2288,2)</f>
        <v>4.78</v>
      </c>
      <c r="G383" s="36">
        <f>ROUND(F383*D383,2)</f>
        <v>860.4</v>
      </c>
      <c r="H383" s="28">
        <v>180</v>
      </c>
      <c r="I383" s="38" t="s">
        <v>388</v>
      </c>
      <c r="J383" s="39"/>
      <c r="L383" s="40">
        <f t="shared" si="19"/>
        <v>860.4000000000001</v>
      </c>
      <c r="M383" s="30">
        <f t="shared" si="17"/>
        <v>700.2</v>
      </c>
    </row>
    <row r="384" spans="1:13" s="30" customFormat="1" ht="78.75">
      <c r="A384" s="82"/>
      <c r="B384" s="89" t="s">
        <v>391</v>
      </c>
      <c r="C384" s="34"/>
      <c r="D384" s="55"/>
      <c r="E384" s="35"/>
      <c r="F384" s="35"/>
      <c r="G384" s="36"/>
      <c r="H384" s="28"/>
      <c r="I384" s="38"/>
      <c r="J384" s="39"/>
      <c r="L384" s="40">
        <f t="shared" si="19"/>
        <v>0</v>
      </c>
      <c r="M384" s="30">
        <f t="shared" si="17"/>
        <v>0</v>
      </c>
    </row>
    <row r="385" spans="1:13" s="30" customFormat="1" ht="18.75">
      <c r="A385" s="82"/>
      <c r="B385" s="89"/>
      <c r="C385" s="34"/>
      <c r="D385" s="55"/>
      <c r="E385" s="35"/>
      <c r="F385" s="35"/>
      <c r="G385" s="36"/>
      <c r="H385" s="28"/>
      <c r="I385" s="38"/>
      <c r="J385" s="39"/>
      <c r="L385" s="40">
        <f t="shared" si="19"/>
        <v>0</v>
      </c>
      <c r="M385" s="30">
        <f t="shared" si="17"/>
        <v>0</v>
      </c>
    </row>
    <row r="386" spans="1:13" s="30" customFormat="1" ht="18.75">
      <c r="A386" s="82">
        <v>200200</v>
      </c>
      <c r="B386" s="90" t="s">
        <v>392</v>
      </c>
      <c r="C386" s="34"/>
      <c r="D386" s="55"/>
      <c r="E386" s="35"/>
      <c r="F386" s="35"/>
      <c r="G386" s="36"/>
      <c r="H386" s="28"/>
      <c r="I386" s="38"/>
      <c r="J386" s="39"/>
      <c r="L386" s="40">
        <f t="shared" si="19"/>
        <v>0</v>
      </c>
      <c r="M386" s="30">
        <f t="shared" si="17"/>
        <v>0</v>
      </c>
    </row>
    <row r="387" spans="1:13" s="30" customFormat="1" ht="315">
      <c r="A387" s="82"/>
      <c r="B387" s="42" t="s">
        <v>393</v>
      </c>
      <c r="C387" s="34"/>
      <c r="D387" s="55"/>
      <c r="E387" s="35"/>
      <c r="F387" s="35"/>
      <c r="G387" s="36"/>
      <c r="H387" s="28"/>
      <c r="I387" s="38"/>
      <c r="J387" s="39"/>
      <c r="L387" s="40">
        <f t="shared" si="19"/>
        <v>0</v>
      </c>
      <c r="M387" s="30">
        <f t="shared" si="17"/>
        <v>0</v>
      </c>
    </row>
    <row r="388" spans="1:13" s="30" customFormat="1" ht="18.75">
      <c r="A388" s="82"/>
      <c r="B388" s="90"/>
      <c r="C388" s="34"/>
      <c r="D388" s="55"/>
      <c r="E388" s="35"/>
      <c r="F388" s="35"/>
      <c r="G388" s="36"/>
      <c r="H388" s="28"/>
      <c r="I388" s="38"/>
      <c r="J388" s="39"/>
      <c r="L388" s="40">
        <f t="shared" si="19"/>
        <v>0</v>
      </c>
      <c r="M388" s="30">
        <f t="shared" si="17"/>
        <v>0</v>
      </c>
    </row>
    <row r="389" spans="1:13" s="30" customFormat="1" ht="57.75" customHeight="1">
      <c r="A389" s="41" t="s">
        <v>394</v>
      </c>
      <c r="B389" s="49" t="s">
        <v>395</v>
      </c>
      <c r="C389" s="34" t="s">
        <v>86</v>
      </c>
      <c r="D389" s="55">
        <v>10.24</v>
      </c>
      <c r="E389" s="35">
        <v>147.73</v>
      </c>
      <c r="F389" s="35">
        <f>ROUND(E389*1.2288,2)</f>
        <v>181.53</v>
      </c>
      <c r="G389" s="36">
        <f>ROUND(F389*D389,2)</f>
        <v>1858.87</v>
      </c>
      <c r="H389" s="28">
        <v>10.24</v>
      </c>
      <c r="I389" s="38" t="s">
        <v>396</v>
      </c>
      <c r="J389" s="39"/>
      <c r="L389" s="40">
        <f t="shared" si="19"/>
        <v>1858.8672000000001</v>
      </c>
      <c r="M389" s="30">
        <f t="shared" si="17"/>
        <v>1512.7551999999998</v>
      </c>
    </row>
    <row r="390" spans="1:13" s="30" customFormat="1" ht="18.75">
      <c r="A390" s="41"/>
      <c r="B390" s="42"/>
      <c r="C390" s="34"/>
      <c r="D390" s="55"/>
      <c r="E390" s="35"/>
      <c r="F390" s="35"/>
      <c r="G390" s="36"/>
      <c r="H390" s="28"/>
      <c r="I390" s="38"/>
      <c r="J390" s="39"/>
      <c r="L390" s="40">
        <f t="shared" si="19"/>
        <v>0</v>
      </c>
      <c r="M390" s="30">
        <f t="shared" si="17"/>
        <v>0</v>
      </c>
    </row>
    <row r="391" spans="1:13" s="30" customFormat="1" ht="72.75" customHeight="1">
      <c r="A391" s="41" t="s">
        <v>397</v>
      </c>
      <c r="B391" s="49" t="s">
        <v>398</v>
      </c>
      <c r="C391" s="34" t="s">
        <v>86</v>
      </c>
      <c r="D391" s="55">
        <f>(28-4.7)*2+18+21.62*2-3.9-4.5+3.75+1.66</f>
        <v>104.85</v>
      </c>
      <c r="E391" s="35">
        <v>247.86</v>
      </c>
      <c r="F391" s="35">
        <f>ROUND(E391*1.2288,2)</f>
        <v>304.57</v>
      </c>
      <c r="G391" s="36">
        <f>ROUND(F391*D391,2)</f>
        <v>31934.16</v>
      </c>
      <c r="H391" s="28" t="s">
        <v>399</v>
      </c>
      <c r="I391" s="38" t="s">
        <v>400</v>
      </c>
      <c r="J391" s="39"/>
      <c r="L391" s="40">
        <f t="shared" si="19"/>
        <v>31934.1645</v>
      </c>
      <c r="M391" s="30">
        <f t="shared" si="17"/>
        <v>25988.121</v>
      </c>
    </row>
    <row r="392" spans="1:13" s="30" customFormat="1" ht="18.75">
      <c r="A392" s="41"/>
      <c r="B392" s="42"/>
      <c r="C392" s="34"/>
      <c r="D392" s="55"/>
      <c r="E392" s="35"/>
      <c r="F392" s="35"/>
      <c r="G392" s="36"/>
      <c r="H392" s="37"/>
      <c r="I392" s="38"/>
      <c r="J392" s="39"/>
      <c r="L392" s="40">
        <f t="shared" si="19"/>
        <v>0</v>
      </c>
      <c r="M392" s="30">
        <f t="shared" si="17"/>
        <v>0</v>
      </c>
    </row>
    <row r="393" spans="1:13" s="30" customFormat="1" ht="18.75">
      <c r="A393" s="41"/>
      <c r="B393" s="42"/>
      <c r="C393" s="34"/>
      <c r="D393" s="55"/>
      <c r="E393" s="35"/>
      <c r="F393" s="35"/>
      <c r="G393" s="36"/>
      <c r="H393" s="28"/>
      <c r="I393" s="38"/>
      <c r="J393" s="39"/>
      <c r="L393" s="40">
        <f t="shared" si="19"/>
        <v>0</v>
      </c>
      <c r="M393" s="30">
        <f t="shared" si="17"/>
        <v>0</v>
      </c>
    </row>
    <row r="394" spans="1:13" s="30" customFormat="1" ht="38.25" customHeight="1">
      <c r="A394" s="41" t="s">
        <v>401</v>
      </c>
      <c r="B394" s="49" t="s">
        <v>402</v>
      </c>
      <c r="C394" s="34" t="s">
        <v>15</v>
      </c>
      <c r="D394" s="55">
        <f>1.5*3.5*3+3*1.3*2.5+4.05*2.5*2</f>
        <v>45.75</v>
      </c>
      <c r="E394" s="35">
        <v>351.33</v>
      </c>
      <c r="F394" s="35">
        <f>ROUND(E394*1.2288,2)</f>
        <v>431.71</v>
      </c>
      <c r="G394" s="36">
        <f>ROUND(F394*D394,2)</f>
        <v>19750.73</v>
      </c>
      <c r="H394" s="38" t="s">
        <v>403</v>
      </c>
      <c r="J394" s="39"/>
      <c r="L394" s="40">
        <f t="shared" si="19"/>
        <v>19750.7325</v>
      </c>
      <c r="M394" s="30">
        <f t="shared" si="17"/>
        <v>16073.3475</v>
      </c>
    </row>
    <row r="395" spans="1:13" s="30" customFormat="1" ht="141.75">
      <c r="A395" s="41"/>
      <c r="B395" s="42" t="s">
        <v>404</v>
      </c>
      <c r="C395" s="34"/>
      <c r="D395" s="55"/>
      <c r="E395" s="35"/>
      <c r="F395" s="35"/>
      <c r="G395" s="36"/>
      <c r="H395" s="28"/>
      <c r="I395" s="38"/>
      <c r="J395" s="39"/>
      <c r="L395" s="40">
        <f t="shared" si="19"/>
        <v>0</v>
      </c>
      <c r="M395" s="30">
        <f t="shared" si="17"/>
        <v>0</v>
      </c>
    </row>
    <row r="396" spans="1:13" s="30" customFormat="1" ht="18.75">
      <c r="A396" s="41"/>
      <c r="B396" s="42"/>
      <c r="C396" s="34"/>
      <c r="D396" s="55"/>
      <c r="E396" s="35"/>
      <c r="F396" s="35"/>
      <c r="G396" s="36"/>
      <c r="H396" s="28"/>
      <c r="I396" s="38"/>
      <c r="J396" s="39"/>
      <c r="L396" s="40">
        <f t="shared" si="19"/>
        <v>0</v>
      </c>
      <c r="M396" s="30">
        <f t="shared" si="17"/>
        <v>0</v>
      </c>
    </row>
    <row r="397" spans="1:13" s="30" customFormat="1" ht="18.75">
      <c r="A397" s="41" t="s">
        <v>405</v>
      </c>
      <c r="B397" s="60" t="s">
        <v>406</v>
      </c>
      <c r="C397" s="34"/>
      <c r="D397" s="55"/>
      <c r="E397" s="35"/>
      <c r="F397" s="35"/>
      <c r="G397" s="36"/>
      <c r="H397" s="28"/>
      <c r="I397" s="38"/>
      <c r="J397" s="39"/>
      <c r="L397" s="40">
        <f t="shared" si="19"/>
        <v>0</v>
      </c>
      <c r="M397" s="30">
        <f t="shared" si="17"/>
        <v>0</v>
      </c>
    </row>
    <row r="398" spans="1:13" s="30" customFormat="1" ht="18.75">
      <c r="A398" s="41" t="s">
        <v>407</v>
      </c>
      <c r="B398" s="49" t="s">
        <v>408</v>
      </c>
      <c r="C398" s="34" t="s">
        <v>409</v>
      </c>
      <c r="D398" s="55">
        <v>1</v>
      </c>
      <c r="E398" s="67">
        <v>4376.12</v>
      </c>
      <c r="F398" s="35">
        <f>ROUND(E398*1.2288,2)</f>
        <v>5377.38</v>
      </c>
      <c r="G398" s="36">
        <f>ROUND(F398*D398,2)</f>
        <v>5377.38</v>
      </c>
      <c r="H398" s="28">
        <v>1</v>
      </c>
      <c r="I398" s="38"/>
      <c r="J398" s="39"/>
      <c r="L398" s="40">
        <f t="shared" si="19"/>
        <v>5377.38</v>
      </c>
      <c r="M398" s="30">
        <f t="shared" si="17"/>
        <v>4376.12</v>
      </c>
    </row>
    <row r="399" spans="1:13" s="30" customFormat="1" ht="378">
      <c r="A399" s="91"/>
      <c r="B399" s="42" t="s">
        <v>410</v>
      </c>
      <c r="C399" s="92"/>
      <c r="D399" s="55"/>
      <c r="E399" s="35"/>
      <c r="F399" s="35"/>
      <c r="G399" s="36"/>
      <c r="H399" s="28"/>
      <c r="I399" s="38"/>
      <c r="J399" s="39"/>
      <c r="L399" s="40">
        <f t="shared" si="19"/>
        <v>0</v>
      </c>
      <c r="M399" s="30">
        <f t="shared" si="17"/>
        <v>0</v>
      </c>
    </row>
    <row r="400" spans="1:13" s="30" customFormat="1" ht="18.75">
      <c r="A400" s="41"/>
      <c r="B400" s="42"/>
      <c r="C400" s="34"/>
      <c r="D400" s="55"/>
      <c r="E400" s="35"/>
      <c r="F400" s="35"/>
      <c r="G400" s="36"/>
      <c r="H400" s="28"/>
      <c r="I400" s="38"/>
      <c r="J400" s="39"/>
      <c r="L400" s="40">
        <f t="shared" si="19"/>
        <v>0</v>
      </c>
      <c r="M400" s="30">
        <f aca="true" t="shared" si="20" ref="M400:M455">D400*E400</f>
        <v>0</v>
      </c>
    </row>
    <row r="401" spans="1:13" s="30" customFormat="1" ht="30.75" customHeight="1">
      <c r="A401" s="41" t="s">
        <v>411</v>
      </c>
      <c r="B401" s="49" t="s">
        <v>412</v>
      </c>
      <c r="C401" s="34" t="s">
        <v>74</v>
      </c>
      <c r="D401" s="55">
        <f>(18.6+3.02)*(11.2+1.2+1.2)*0.05</f>
        <v>14.7016</v>
      </c>
      <c r="E401" s="35">
        <v>116.26</v>
      </c>
      <c r="F401" s="35">
        <f>ROUND(E401*1.2288,2)</f>
        <v>142.86</v>
      </c>
      <c r="G401" s="36">
        <f>ROUND(F401*D401,2)</f>
        <v>2100.27</v>
      </c>
      <c r="H401" s="28" t="s">
        <v>413</v>
      </c>
      <c r="I401" s="38" t="s">
        <v>414</v>
      </c>
      <c r="J401" s="39"/>
      <c r="L401" s="40">
        <f t="shared" si="19"/>
        <v>2100.270576</v>
      </c>
      <c r="M401" s="30">
        <f t="shared" si="20"/>
        <v>1709.208016</v>
      </c>
    </row>
    <row r="402" spans="1:13" s="30" customFormat="1" ht="78.75">
      <c r="A402" s="41"/>
      <c r="B402" s="42" t="s">
        <v>415</v>
      </c>
      <c r="C402" s="34"/>
      <c r="D402" s="55"/>
      <c r="E402" s="35"/>
      <c r="F402" s="35"/>
      <c r="G402" s="36"/>
      <c r="H402" s="28"/>
      <c r="I402" s="38"/>
      <c r="J402" s="39"/>
      <c r="L402" s="40">
        <f t="shared" si="19"/>
        <v>0</v>
      </c>
      <c r="M402" s="30">
        <f t="shared" si="20"/>
        <v>0</v>
      </c>
    </row>
    <row r="403" spans="1:13" s="30" customFormat="1" ht="18.75">
      <c r="A403" s="41"/>
      <c r="B403" s="42"/>
      <c r="C403" s="34"/>
      <c r="D403" s="55"/>
      <c r="E403" s="35"/>
      <c r="F403" s="35"/>
      <c r="G403" s="36"/>
      <c r="H403" s="28"/>
      <c r="I403" s="38"/>
      <c r="J403" s="39"/>
      <c r="L403" s="40">
        <f t="shared" si="19"/>
        <v>0</v>
      </c>
      <c r="M403" s="30">
        <f t="shared" si="20"/>
        <v>0</v>
      </c>
    </row>
    <row r="404" spans="1:13" s="30" customFormat="1" ht="18.75">
      <c r="A404" s="41"/>
      <c r="B404" s="42"/>
      <c r="C404" s="34"/>
      <c r="D404" s="55"/>
      <c r="E404" s="35"/>
      <c r="F404" s="35"/>
      <c r="G404" s="36"/>
      <c r="H404" s="28"/>
      <c r="I404" s="38"/>
      <c r="J404" s="39"/>
      <c r="L404" s="40">
        <f t="shared" si="19"/>
        <v>0</v>
      </c>
      <c r="M404" s="30">
        <f t="shared" si="20"/>
        <v>0</v>
      </c>
    </row>
    <row r="405" spans="1:13" s="30" customFormat="1" ht="37.5">
      <c r="A405" s="41" t="s">
        <v>416</v>
      </c>
      <c r="B405" s="49" t="s">
        <v>417</v>
      </c>
      <c r="C405" s="34" t="s">
        <v>61</v>
      </c>
      <c r="D405" s="55">
        <v>646.87</v>
      </c>
      <c r="E405" s="35">
        <v>19.14</v>
      </c>
      <c r="F405" s="35">
        <f>ROUND(E405*1.2288,2)</f>
        <v>23.52</v>
      </c>
      <c r="G405" s="36">
        <f>ROUND(F405*D405,2)</f>
        <v>15214.38</v>
      </c>
      <c r="H405" s="53" t="s">
        <v>418</v>
      </c>
      <c r="I405" s="38" t="s">
        <v>419</v>
      </c>
      <c r="J405" s="39"/>
      <c r="L405" s="40">
        <f t="shared" si="19"/>
        <v>15214.3824</v>
      </c>
      <c r="M405" s="30">
        <f t="shared" si="20"/>
        <v>12381.0918</v>
      </c>
    </row>
    <row r="406" spans="1:13" s="30" customFormat="1" ht="78.75">
      <c r="A406" s="41"/>
      <c r="B406" s="42" t="s">
        <v>420</v>
      </c>
      <c r="C406" s="34"/>
      <c r="D406" s="55"/>
      <c r="E406" s="35"/>
      <c r="F406" s="35"/>
      <c r="G406" s="36"/>
      <c r="H406" s="28"/>
      <c r="I406" s="38"/>
      <c r="J406" s="39"/>
      <c r="L406" s="40">
        <f t="shared" si="19"/>
        <v>0</v>
      </c>
      <c r="M406" s="30">
        <f t="shared" si="20"/>
        <v>0</v>
      </c>
    </row>
    <row r="407" spans="1:13" s="30" customFormat="1" ht="18.75">
      <c r="A407" s="41"/>
      <c r="B407" s="42"/>
      <c r="C407" s="34"/>
      <c r="D407" s="55"/>
      <c r="E407" s="35"/>
      <c r="F407" s="35"/>
      <c r="G407" s="36"/>
      <c r="H407" s="28"/>
      <c r="I407" s="38"/>
      <c r="J407" s="39"/>
      <c r="L407" s="40">
        <f t="shared" si="19"/>
        <v>0</v>
      </c>
      <c r="M407" s="30">
        <f t="shared" si="20"/>
        <v>0</v>
      </c>
    </row>
    <row r="408" spans="1:13" s="30" customFormat="1" ht="47.25">
      <c r="A408" s="41" t="s">
        <v>421</v>
      </c>
      <c r="B408" s="49" t="s">
        <v>422</v>
      </c>
      <c r="C408" s="34" t="s">
        <v>74</v>
      </c>
      <c r="D408" s="55">
        <v>23.52</v>
      </c>
      <c r="E408" s="35">
        <v>546.17</v>
      </c>
      <c r="F408" s="35">
        <f>ROUND(E408*1.2288,2)</f>
        <v>671.13</v>
      </c>
      <c r="G408" s="36">
        <f>ROUND(F408*D408,2)</f>
        <v>15784.98</v>
      </c>
      <c r="H408" s="28" t="s">
        <v>423</v>
      </c>
      <c r="I408" s="38" t="s">
        <v>424</v>
      </c>
      <c r="J408" s="39"/>
      <c r="L408" s="40">
        <f t="shared" si="19"/>
        <v>15784.9776</v>
      </c>
      <c r="M408" s="30">
        <f t="shared" si="20"/>
        <v>12845.918399999999</v>
      </c>
    </row>
    <row r="409" spans="1:13" s="30" customFormat="1" ht="141.75" customHeight="1">
      <c r="A409" s="41"/>
      <c r="B409" s="42" t="s">
        <v>425</v>
      </c>
      <c r="C409" s="34"/>
      <c r="D409" s="55"/>
      <c r="E409" s="35"/>
      <c r="F409" s="35"/>
      <c r="G409" s="36"/>
      <c r="H409" s="38"/>
      <c r="I409" s="38"/>
      <c r="J409" s="39"/>
      <c r="K409" s="149"/>
      <c r="L409" s="40">
        <f t="shared" si="19"/>
        <v>0</v>
      </c>
      <c r="M409" s="30">
        <f t="shared" si="20"/>
        <v>0</v>
      </c>
    </row>
    <row r="410" spans="1:14" s="30" customFormat="1" ht="141.75" customHeight="1">
      <c r="A410" s="41" t="s">
        <v>426</v>
      </c>
      <c r="B410" s="49" t="s">
        <v>427</v>
      </c>
      <c r="C410" s="34" t="s">
        <v>15</v>
      </c>
      <c r="D410" s="55">
        <v>514.61</v>
      </c>
      <c r="E410" s="35">
        <v>20</v>
      </c>
      <c r="F410" s="35">
        <f>ROUND(E410*1.2288,2)</f>
        <v>24.58</v>
      </c>
      <c r="G410" s="36">
        <f>ROUND(F410*D410,2)</f>
        <v>12649.11</v>
      </c>
      <c r="H410" s="38" t="s">
        <v>428</v>
      </c>
      <c r="I410" s="38" t="s">
        <v>429</v>
      </c>
      <c r="J410" s="39"/>
      <c r="K410" s="76"/>
      <c r="L410" s="40">
        <f t="shared" si="19"/>
        <v>12649.1138</v>
      </c>
      <c r="M410" s="30">
        <f t="shared" si="20"/>
        <v>10292.2</v>
      </c>
      <c r="N410" s="76"/>
    </row>
    <row r="411" spans="1:13" s="30" customFormat="1" ht="47.25">
      <c r="A411" s="41"/>
      <c r="B411" s="42" t="s">
        <v>430</v>
      </c>
      <c r="C411" s="34"/>
      <c r="D411" s="55"/>
      <c r="E411" s="35"/>
      <c r="F411" s="35"/>
      <c r="G411" s="36"/>
      <c r="H411" s="28"/>
      <c r="I411" s="38"/>
      <c r="J411" s="39"/>
      <c r="L411" s="40">
        <f t="shared" si="19"/>
        <v>0</v>
      </c>
      <c r="M411" s="30">
        <f t="shared" si="20"/>
        <v>0</v>
      </c>
    </row>
    <row r="412" spans="1:13" s="30" customFormat="1" ht="18.75">
      <c r="A412" s="41"/>
      <c r="B412" s="42"/>
      <c r="C412" s="34"/>
      <c r="D412" s="55"/>
      <c r="E412" s="35"/>
      <c r="F412" s="35"/>
      <c r="G412" s="36"/>
      <c r="H412" s="28"/>
      <c r="I412" s="38"/>
      <c r="J412" s="39"/>
      <c r="L412" s="40">
        <f t="shared" si="19"/>
        <v>0</v>
      </c>
      <c r="M412" s="30">
        <f t="shared" si="20"/>
        <v>0</v>
      </c>
    </row>
    <row r="413" spans="1:13" s="30" customFormat="1" ht="31.5">
      <c r="A413" s="41" t="s">
        <v>431</v>
      </c>
      <c r="B413" s="49" t="s">
        <v>432</v>
      </c>
      <c r="C413" s="34" t="s">
        <v>15</v>
      </c>
      <c r="D413" s="55">
        <f>18*28</f>
        <v>504</v>
      </c>
      <c r="E413" s="35">
        <v>174.65</v>
      </c>
      <c r="F413" s="35">
        <f>ROUND(E413*1.2288,2)</f>
        <v>214.61</v>
      </c>
      <c r="G413" s="36">
        <f>ROUND(F413*D413,2)</f>
        <v>108163.44</v>
      </c>
      <c r="H413" s="28" t="s">
        <v>433</v>
      </c>
      <c r="I413" s="38" t="s">
        <v>16</v>
      </c>
      <c r="J413" s="39"/>
      <c r="L413" s="40">
        <f t="shared" si="19"/>
        <v>108163.44</v>
      </c>
      <c r="M413" s="30">
        <f t="shared" si="20"/>
        <v>88023.6</v>
      </c>
    </row>
    <row r="414" spans="1:13" s="30" customFormat="1" ht="167.25" customHeight="1">
      <c r="A414" s="41"/>
      <c r="B414" s="70" t="s">
        <v>434</v>
      </c>
      <c r="C414" s="34"/>
      <c r="D414" s="55"/>
      <c r="E414" s="35"/>
      <c r="F414" s="35"/>
      <c r="G414" s="36"/>
      <c r="H414" s="28"/>
      <c r="I414" s="38"/>
      <c r="J414" s="39"/>
      <c r="L414" s="40">
        <f t="shared" si="19"/>
        <v>0</v>
      </c>
      <c r="M414" s="30">
        <f t="shared" si="20"/>
        <v>0</v>
      </c>
    </row>
    <row r="415" spans="1:13" s="30" customFormat="1" ht="18.75">
      <c r="A415" s="41"/>
      <c r="B415" s="42"/>
      <c r="C415" s="34"/>
      <c r="D415" s="55"/>
      <c r="E415" s="35"/>
      <c r="F415" s="35"/>
      <c r="G415" s="36"/>
      <c r="H415" s="28"/>
      <c r="I415" s="38"/>
      <c r="J415" s="39"/>
      <c r="L415" s="40">
        <f t="shared" si="19"/>
        <v>0</v>
      </c>
      <c r="M415" s="30">
        <f t="shared" si="20"/>
        <v>0</v>
      </c>
    </row>
    <row r="416" spans="1:13" s="30" customFormat="1" ht="94.5" customHeight="1">
      <c r="A416" s="41" t="s">
        <v>435</v>
      </c>
      <c r="B416" s="45" t="s">
        <v>436</v>
      </c>
      <c r="C416" s="34" t="s">
        <v>15</v>
      </c>
      <c r="D416" s="55">
        <v>744.74</v>
      </c>
      <c r="E416" s="35">
        <v>84.99</v>
      </c>
      <c r="F416" s="35">
        <f>ROUND(E416*1.2288,2)</f>
        <v>104.44</v>
      </c>
      <c r="G416" s="36">
        <f>ROUND(F416*D416,2)</f>
        <v>77780.65</v>
      </c>
      <c r="H416" s="28" t="s">
        <v>437</v>
      </c>
      <c r="I416" s="38" t="s">
        <v>438</v>
      </c>
      <c r="J416" s="39"/>
      <c r="L416" s="40">
        <f t="shared" si="19"/>
        <v>77780.6456</v>
      </c>
      <c r="M416" s="30">
        <f t="shared" si="20"/>
        <v>63295.4526</v>
      </c>
    </row>
    <row r="417" spans="1:13" s="30" customFormat="1" ht="94.5">
      <c r="A417" s="41"/>
      <c r="B417" s="70" t="s">
        <v>439</v>
      </c>
      <c r="C417" s="34"/>
      <c r="D417" s="55"/>
      <c r="E417" s="35"/>
      <c r="F417" s="35"/>
      <c r="G417" s="36"/>
      <c r="H417" s="28"/>
      <c r="I417" s="38"/>
      <c r="J417" s="39"/>
      <c r="L417" s="40">
        <f t="shared" si="19"/>
        <v>0</v>
      </c>
      <c r="M417" s="30">
        <f t="shared" si="20"/>
        <v>0</v>
      </c>
    </row>
    <row r="418" spans="1:13" s="30" customFormat="1" ht="18.75">
      <c r="A418" s="41"/>
      <c r="B418" s="42"/>
      <c r="C418" s="34"/>
      <c r="D418" s="55"/>
      <c r="E418" s="35"/>
      <c r="F418" s="35"/>
      <c r="G418" s="36"/>
      <c r="H418" s="28"/>
      <c r="I418" s="38"/>
      <c r="J418" s="39"/>
      <c r="L418" s="40"/>
      <c r="M418" s="30">
        <f t="shared" si="20"/>
        <v>0</v>
      </c>
    </row>
    <row r="419" spans="1:13" s="30" customFormat="1" ht="18" customHeight="1">
      <c r="A419" s="41"/>
      <c r="B419" s="54"/>
      <c r="C419" s="190" t="s">
        <v>34</v>
      </c>
      <c r="D419" s="190"/>
      <c r="E419" s="190"/>
      <c r="F419" s="142"/>
      <c r="G419" s="51">
        <f>SUM(G378:G418)</f>
        <v>298281.16000000003</v>
      </c>
      <c r="H419" s="28"/>
      <c r="I419" s="38"/>
      <c r="J419" s="39"/>
      <c r="L419" s="152">
        <f>SUM(L380:L417)</f>
        <v>298281.168676</v>
      </c>
      <c r="M419" s="30">
        <f t="shared" si="20"/>
        <v>0</v>
      </c>
    </row>
    <row r="420" spans="1:13" s="30" customFormat="1" ht="18.75">
      <c r="A420" s="23" t="s">
        <v>440</v>
      </c>
      <c r="B420" s="24" t="s">
        <v>441</v>
      </c>
      <c r="C420" s="25"/>
      <c r="D420" s="162"/>
      <c r="E420" s="26"/>
      <c r="F420" s="67"/>
      <c r="G420" s="36"/>
      <c r="H420" s="28"/>
      <c r="I420" s="38"/>
      <c r="J420" s="39"/>
      <c r="L420" s="40"/>
      <c r="M420" s="30">
        <f t="shared" si="20"/>
        <v>0</v>
      </c>
    </row>
    <row r="421" spans="1:13" s="30" customFormat="1" ht="18.75">
      <c r="A421" s="32" t="s">
        <v>442</v>
      </c>
      <c r="B421" s="66" t="s">
        <v>443</v>
      </c>
      <c r="C421" s="61"/>
      <c r="D421" s="55"/>
      <c r="E421" s="35"/>
      <c r="F421" s="35"/>
      <c r="G421" s="36"/>
      <c r="H421" s="28"/>
      <c r="I421" s="38"/>
      <c r="J421" s="154"/>
      <c r="L421" s="40">
        <f aca="true" t="shared" si="21" ref="L421:L426">D421*F421</f>
        <v>0</v>
      </c>
      <c r="M421" s="30">
        <f t="shared" si="20"/>
        <v>0</v>
      </c>
    </row>
    <row r="422" spans="1:13" s="30" customFormat="1" ht="18.75">
      <c r="A422" s="41" t="s">
        <v>444</v>
      </c>
      <c r="B422" s="49" t="s">
        <v>445</v>
      </c>
      <c r="C422" s="34" t="s">
        <v>15</v>
      </c>
      <c r="D422" s="55">
        <f>18*28</f>
        <v>504</v>
      </c>
      <c r="E422" s="35">
        <v>5.32</v>
      </c>
      <c r="F422" s="35">
        <f>ROUND(E422*1.2288,2)</f>
        <v>6.54</v>
      </c>
      <c r="G422" s="36">
        <f>ROUND(F422*D422,2)</f>
        <v>3296.16</v>
      </c>
      <c r="H422" s="28" t="s">
        <v>433</v>
      </c>
      <c r="I422" s="38"/>
      <c r="J422" s="154"/>
      <c r="L422" s="40">
        <f t="shared" si="21"/>
        <v>3296.16</v>
      </c>
      <c r="M422" s="30">
        <f t="shared" si="20"/>
        <v>2681.28</v>
      </c>
    </row>
    <row r="423" spans="1:13" s="30" customFormat="1" ht="63">
      <c r="A423" s="41"/>
      <c r="B423" s="42" t="s">
        <v>446</v>
      </c>
      <c r="C423" s="34"/>
      <c r="D423" s="55"/>
      <c r="E423" s="35"/>
      <c r="F423" s="35"/>
      <c r="G423" s="36"/>
      <c r="H423" s="28"/>
      <c r="I423" s="38"/>
      <c r="J423" s="154"/>
      <c r="L423" s="40">
        <f t="shared" si="21"/>
        <v>0</v>
      </c>
      <c r="M423" s="30">
        <f t="shared" si="20"/>
        <v>0</v>
      </c>
    </row>
    <row r="424" spans="1:13" s="30" customFormat="1" ht="18.75">
      <c r="A424" s="41"/>
      <c r="B424" s="42"/>
      <c r="C424" s="34"/>
      <c r="D424" s="55"/>
      <c r="E424" s="35"/>
      <c r="F424" s="35"/>
      <c r="G424" s="36"/>
      <c r="H424" s="28"/>
      <c r="I424" s="38"/>
      <c r="J424" s="154"/>
      <c r="L424" s="40">
        <f t="shared" si="21"/>
        <v>0</v>
      </c>
      <c r="M424" s="30">
        <f t="shared" si="20"/>
        <v>0</v>
      </c>
    </row>
    <row r="425" spans="1:13" s="30" customFormat="1" ht="18.75">
      <c r="A425" s="41"/>
      <c r="B425" s="60"/>
      <c r="C425" s="34"/>
      <c r="D425" s="164"/>
      <c r="E425" s="35"/>
      <c r="F425" s="35"/>
      <c r="G425" s="36"/>
      <c r="H425" s="28"/>
      <c r="I425" s="38"/>
      <c r="J425" s="154"/>
      <c r="L425" s="40">
        <f t="shared" si="21"/>
        <v>0</v>
      </c>
      <c r="M425" s="30">
        <f t="shared" si="20"/>
        <v>0</v>
      </c>
    </row>
    <row r="426" spans="1:13" s="30" customFormat="1" ht="28.5" customHeight="1">
      <c r="A426" s="41" t="s">
        <v>447</v>
      </c>
      <c r="B426" s="49" t="s">
        <v>448</v>
      </c>
      <c r="C426" s="34" t="s">
        <v>74</v>
      </c>
      <c r="D426" s="55">
        <v>40</v>
      </c>
      <c r="E426" s="35">
        <v>39.4</v>
      </c>
      <c r="F426" s="35">
        <f>ROUND(E426*1.2288,2)</f>
        <v>48.41</v>
      </c>
      <c r="G426" s="36">
        <f>ROUND(F426*D426,2)</f>
        <v>1936.4</v>
      </c>
      <c r="H426" s="28">
        <v>40</v>
      </c>
      <c r="I426" s="38"/>
      <c r="J426" s="154"/>
      <c r="L426" s="40">
        <f t="shared" si="21"/>
        <v>1936.3999999999999</v>
      </c>
      <c r="M426" s="30">
        <f t="shared" si="20"/>
        <v>1576</v>
      </c>
    </row>
    <row r="427" spans="1:13" s="30" customFormat="1" ht="18.75">
      <c r="A427" s="41"/>
      <c r="B427" s="42"/>
      <c r="C427" s="34"/>
      <c r="D427" s="55"/>
      <c r="E427" s="35"/>
      <c r="F427" s="35"/>
      <c r="G427" s="36"/>
      <c r="H427" s="28"/>
      <c r="I427" s="38"/>
      <c r="J427" s="154"/>
      <c r="L427" s="152">
        <f>SUM(L422:L426)</f>
        <v>5232.5599999999995</v>
      </c>
      <c r="M427" s="30">
        <f t="shared" si="20"/>
        <v>0</v>
      </c>
    </row>
    <row r="428" spans="1:13" s="30" customFormat="1" ht="18" customHeight="1">
      <c r="A428" s="93"/>
      <c r="B428" s="94"/>
      <c r="C428" s="190" t="s">
        <v>34</v>
      </c>
      <c r="D428" s="190"/>
      <c r="E428" s="190"/>
      <c r="F428" s="142"/>
      <c r="G428" s="51">
        <f>SUM(G421:G427)</f>
        <v>5232.5599999999995</v>
      </c>
      <c r="H428" s="28"/>
      <c r="I428" s="38"/>
      <c r="J428" s="39"/>
      <c r="L428" s="40"/>
      <c r="M428" s="30">
        <f t="shared" si="20"/>
        <v>0</v>
      </c>
    </row>
    <row r="429" spans="1:13" s="30" customFormat="1" ht="18.75">
      <c r="A429" s="23" t="s">
        <v>449</v>
      </c>
      <c r="B429" s="24" t="s">
        <v>450</v>
      </c>
      <c r="C429" s="25"/>
      <c r="D429" s="162"/>
      <c r="E429" s="26"/>
      <c r="F429" s="67"/>
      <c r="G429" s="36"/>
      <c r="H429" s="28"/>
      <c r="I429" s="38"/>
      <c r="J429" s="39"/>
      <c r="L429" s="40"/>
      <c r="M429" s="30">
        <f t="shared" si="20"/>
        <v>0</v>
      </c>
    </row>
    <row r="430" spans="1:13" s="30" customFormat="1" ht="18.75" hidden="1">
      <c r="A430" s="41" t="s">
        <v>451</v>
      </c>
      <c r="B430" s="60" t="s">
        <v>452</v>
      </c>
      <c r="C430" s="61"/>
      <c r="D430" s="55"/>
      <c r="E430" s="67"/>
      <c r="F430" s="67"/>
      <c r="G430" s="36"/>
      <c r="H430" s="28"/>
      <c r="I430" s="38"/>
      <c r="J430" s="154"/>
      <c r="L430" s="40"/>
      <c r="M430" s="30">
        <f t="shared" si="20"/>
        <v>0</v>
      </c>
    </row>
    <row r="431" spans="1:13" s="30" customFormat="1" ht="315" hidden="1">
      <c r="A431" s="41"/>
      <c r="B431" s="42" t="s">
        <v>453</v>
      </c>
      <c r="C431" s="61"/>
      <c r="D431" s="55"/>
      <c r="E431" s="67"/>
      <c r="F431" s="67"/>
      <c r="G431" s="36"/>
      <c r="H431" s="28"/>
      <c r="I431" s="38"/>
      <c r="J431" s="154"/>
      <c r="L431" s="40"/>
      <c r="M431" s="30">
        <f t="shared" si="20"/>
        <v>0</v>
      </c>
    </row>
    <row r="432" spans="1:13" s="30" customFormat="1" ht="18.75" hidden="1">
      <c r="A432" s="41"/>
      <c r="B432" s="60"/>
      <c r="C432" s="61"/>
      <c r="D432" s="55"/>
      <c r="E432" s="67"/>
      <c r="F432" s="67"/>
      <c r="G432" s="36"/>
      <c r="H432" s="28"/>
      <c r="I432" s="38"/>
      <c r="J432" s="154"/>
      <c r="L432" s="40"/>
      <c r="M432" s="30">
        <f t="shared" si="20"/>
        <v>0</v>
      </c>
    </row>
    <row r="433" spans="1:13" s="30" customFormat="1" ht="18.75" hidden="1">
      <c r="A433" s="41" t="s">
        <v>454</v>
      </c>
      <c r="B433" s="49" t="s">
        <v>455</v>
      </c>
      <c r="C433" s="61" t="s">
        <v>20</v>
      </c>
      <c r="D433" s="55"/>
      <c r="E433" s="35">
        <v>992.16</v>
      </c>
      <c r="F433" s="35">
        <f>ROUND(E433*1.2288,2)</f>
        <v>1219.17</v>
      </c>
      <c r="G433" s="36">
        <f>ROUND(F433*D433,2)</f>
        <v>0</v>
      </c>
      <c r="H433" s="28">
        <v>1</v>
      </c>
      <c r="I433" s="38"/>
      <c r="J433" s="154"/>
      <c r="L433" s="40">
        <f aca="true" t="shared" si="22" ref="L433:L451">D433*F433</f>
        <v>0</v>
      </c>
      <c r="M433" s="30">
        <f t="shared" si="20"/>
        <v>0</v>
      </c>
    </row>
    <row r="434" spans="1:13" s="30" customFormat="1" ht="18.75" hidden="1">
      <c r="A434" s="41"/>
      <c r="B434" s="42"/>
      <c r="C434" s="61"/>
      <c r="D434" s="55"/>
      <c r="E434" s="67"/>
      <c r="F434" s="67"/>
      <c r="G434" s="36"/>
      <c r="H434" s="28"/>
      <c r="I434" s="38"/>
      <c r="J434" s="154"/>
      <c r="L434" s="40">
        <f t="shared" si="22"/>
        <v>0</v>
      </c>
      <c r="M434" s="30">
        <f t="shared" si="20"/>
        <v>0</v>
      </c>
    </row>
    <row r="435" spans="1:13" s="30" customFormat="1" ht="18.75" hidden="1">
      <c r="A435" s="41"/>
      <c r="B435" s="49"/>
      <c r="C435" s="61"/>
      <c r="D435" s="55"/>
      <c r="E435" s="67"/>
      <c r="F435" s="67"/>
      <c r="G435" s="36"/>
      <c r="H435" s="28"/>
      <c r="I435" s="38"/>
      <c r="J435" s="154"/>
      <c r="L435" s="40">
        <f t="shared" si="22"/>
        <v>0</v>
      </c>
      <c r="M435" s="30">
        <f t="shared" si="20"/>
        <v>0</v>
      </c>
    </row>
    <row r="436" spans="1:13" s="30" customFormat="1" ht="18.75" hidden="1">
      <c r="A436" s="41" t="s">
        <v>456</v>
      </c>
      <c r="B436" s="60" t="s">
        <v>457</v>
      </c>
      <c r="C436" s="61"/>
      <c r="D436" s="55"/>
      <c r="E436" s="67"/>
      <c r="F436" s="67"/>
      <c r="G436" s="36"/>
      <c r="H436" s="28"/>
      <c r="I436" s="38"/>
      <c r="J436" s="154"/>
      <c r="L436" s="40">
        <f t="shared" si="22"/>
        <v>0</v>
      </c>
      <c r="M436" s="30">
        <f t="shared" si="20"/>
        <v>0</v>
      </c>
    </row>
    <row r="437" spans="1:13" s="30" customFormat="1" ht="303" customHeight="1" hidden="1">
      <c r="A437" s="41"/>
      <c r="B437" s="42" t="s">
        <v>458</v>
      </c>
      <c r="C437" s="61"/>
      <c r="D437" s="55"/>
      <c r="E437" s="67"/>
      <c r="F437" s="67"/>
      <c r="G437" s="36"/>
      <c r="H437" s="28"/>
      <c r="I437" s="38"/>
      <c r="J437" s="154"/>
      <c r="L437" s="40">
        <f t="shared" si="22"/>
        <v>0</v>
      </c>
      <c r="M437" s="30">
        <f t="shared" si="20"/>
        <v>0</v>
      </c>
    </row>
    <row r="438" spans="1:13" s="30" customFormat="1" ht="18.75" hidden="1">
      <c r="A438" s="41"/>
      <c r="B438" s="42"/>
      <c r="C438" s="61"/>
      <c r="D438" s="55"/>
      <c r="E438" s="67"/>
      <c r="F438" s="67"/>
      <c r="G438" s="36"/>
      <c r="H438" s="28"/>
      <c r="I438" s="38"/>
      <c r="J438" s="154"/>
      <c r="L438" s="40">
        <f t="shared" si="22"/>
        <v>0</v>
      </c>
      <c r="M438" s="30">
        <f t="shared" si="20"/>
        <v>0</v>
      </c>
    </row>
    <row r="439" spans="1:13" s="30" customFormat="1" ht="18.75" hidden="1">
      <c r="A439" s="41" t="s">
        <v>459</v>
      </c>
      <c r="B439" s="49" t="s">
        <v>460</v>
      </c>
      <c r="C439" s="61" t="s">
        <v>20</v>
      </c>
      <c r="D439" s="55"/>
      <c r="E439" s="35">
        <v>1571.81</v>
      </c>
      <c r="F439" s="35">
        <f>ROUND(E439*1.2493,2)</f>
        <v>1963.66</v>
      </c>
      <c r="G439" s="36">
        <f>ROUND(F439*D439,2)</f>
        <v>0</v>
      </c>
      <c r="H439" s="28">
        <v>1</v>
      </c>
      <c r="I439" s="38"/>
      <c r="J439" s="154"/>
      <c r="L439" s="40">
        <f t="shared" si="22"/>
        <v>0</v>
      </c>
      <c r="M439" s="30">
        <f t="shared" si="20"/>
        <v>0</v>
      </c>
    </row>
    <row r="440" spans="1:13" s="30" customFormat="1" ht="18.75" hidden="1">
      <c r="A440" s="41"/>
      <c r="B440" s="46"/>
      <c r="C440" s="61"/>
      <c r="D440" s="55"/>
      <c r="E440" s="67"/>
      <c r="F440" s="67"/>
      <c r="G440" s="36"/>
      <c r="H440" s="28"/>
      <c r="I440" s="38"/>
      <c r="J440" s="154"/>
      <c r="L440" s="40">
        <f t="shared" si="22"/>
        <v>0</v>
      </c>
      <c r="M440" s="30">
        <f t="shared" si="20"/>
        <v>0</v>
      </c>
    </row>
    <row r="441" spans="1:13" s="30" customFormat="1" ht="18.75" hidden="1">
      <c r="A441" s="41" t="s">
        <v>461</v>
      </c>
      <c r="B441" s="58" t="s">
        <v>462</v>
      </c>
      <c r="C441" s="61" t="s">
        <v>20</v>
      </c>
      <c r="D441" s="55"/>
      <c r="E441" s="35">
        <v>1387.24</v>
      </c>
      <c r="F441" s="35">
        <f>ROUND(E441*1.2493,2)</f>
        <v>1733.08</v>
      </c>
      <c r="G441" s="36">
        <f>ROUND(F441*D441,2)</f>
        <v>0</v>
      </c>
      <c r="H441" s="28">
        <v>1</v>
      </c>
      <c r="I441" s="38"/>
      <c r="J441" s="154"/>
      <c r="L441" s="40">
        <f t="shared" si="22"/>
        <v>0</v>
      </c>
      <c r="M441" s="30">
        <f t="shared" si="20"/>
        <v>0</v>
      </c>
    </row>
    <row r="442" spans="1:13" s="30" customFormat="1" ht="18.75" hidden="1">
      <c r="A442" s="41"/>
      <c r="B442" s="46"/>
      <c r="C442" s="61"/>
      <c r="D442" s="55"/>
      <c r="E442" s="67"/>
      <c r="F442" s="67"/>
      <c r="G442" s="36"/>
      <c r="H442" s="28"/>
      <c r="I442" s="38"/>
      <c r="J442" s="154"/>
      <c r="L442" s="40">
        <f t="shared" si="22"/>
        <v>0</v>
      </c>
      <c r="M442" s="30">
        <f t="shared" si="20"/>
        <v>0</v>
      </c>
    </row>
    <row r="443" spans="1:13" s="30" customFormat="1" ht="18.75" hidden="1">
      <c r="A443" s="41" t="s">
        <v>463</v>
      </c>
      <c r="B443" s="58" t="s">
        <v>464</v>
      </c>
      <c r="C443" s="61" t="s">
        <v>20</v>
      </c>
      <c r="D443" s="55"/>
      <c r="E443" s="35">
        <v>1464.96</v>
      </c>
      <c r="F443" s="35">
        <f>ROUND(E443*1.2493,2)</f>
        <v>1830.17</v>
      </c>
      <c r="G443" s="36">
        <f>ROUND(F443*D443,2)</f>
        <v>0</v>
      </c>
      <c r="H443" s="28">
        <v>1</v>
      </c>
      <c r="I443" s="38"/>
      <c r="J443" s="154"/>
      <c r="L443" s="40">
        <f t="shared" si="22"/>
        <v>0</v>
      </c>
      <c r="M443" s="30">
        <f t="shared" si="20"/>
        <v>0</v>
      </c>
    </row>
    <row r="444" spans="1:13" s="30" customFormat="1" ht="18.75" hidden="1">
      <c r="A444" s="41"/>
      <c r="B444" s="46"/>
      <c r="C444" s="61"/>
      <c r="D444" s="55"/>
      <c r="E444" s="67"/>
      <c r="F444" s="67"/>
      <c r="G444" s="36"/>
      <c r="H444" s="28"/>
      <c r="I444" s="38"/>
      <c r="J444" s="154"/>
      <c r="L444" s="40">
        <f t="shared" si="22"/>
        <v>0</v>
      </c>
      <c r="M444" s="30">
        <f t="shared" si="20"/>
        <v>0</v>
      </c>
    </row>
    <row r="445" spans="1:13" s="30" customFormat="1" ht="18.75" hidden="1">
      <c r="A445" s="41"/>
      <c r="B445" s="46"/>
      <c r="C445" s="61"/>
      <c r="D445" s="55"/>
      <c r="E445" s="67"/>
      <c r="F445" s="67"/>
      <c r="G445" s="36"/>
      <c r="H445" s="28"/>
      <c r="I445" s="38"/>
      <c r="J445" s="154"/>
      <c r="L445" s="40">
        <f t="shared" si="22"/>
        <v>0</v>
      </c>
      <c r="M445" s="30">
        <f t="shared" si="20"/>
        <v>0</v>
      </c>
    </row>
    <row r="446" spans="1:13" s="30" customFormat="1" ht="18.75" hidden="1">
      <c r="A446" s="41" t="s">
        <v>465</v>
      </c>
      <c r="B446" s="58" t="s">
        <v>466</v>
      </c>
      <c r="C446" s="61" t="s">
        <v>20</v>
      </c>
      <c r="D446" s="55"/>
      <c r="E446" s="35">
        <v>1309.31</v>
      </c>
      <c r="F446" s="35">
        <f>ROUND(E446*1.2493,2)</f>
        <v>1635.72</v>
      </c>
      <c r="G446" s="36">
        <f>ROUND(F446*D446,2)</f>
        <v>0</v>
      </c>
      <c r="H446" s="28">
        <v>2</v>
      </c>
      <c r="I446" s="38"/>
      <c r="J446" s="154"/>
      <c r="L446" s="40">
        <f t="shared" si="22"/>
        <v>0</v>
      </c>
      <c r="M446" s="30">
        <f t="shared" si="20"/>
        <v>0</v>
      </c>
    </row>
    <row r="447" spans="1:13" s="30" customFormat="1" ht="18.75" hidden="1">
      <c r="A447" s="41"/>
      <c r="B447" s="46"/>
      <c r="C447" s="61"/>
      <c r="D447" s="55"/>
      <c r="E447" s="67"/>
      <c r="F447" s="67"/>
      <c r="G447" s="36"/>
      <c r="H447" s="28"/>
      <c r="I447" s="38"/>
      <c r="J447" s="154"/>
      <c r="L447" s="40">
        <f t="shared" si="22"/>
        <v>0</v>
      </c>
      <c r="M447" s="30">
        <f t="shared" si="20"/>
        <v>0</v>
      </c>
    </row>
    <row r="448" spans="1:13" s="30" customFormat="1" ht="18.75" hidden="1">
      <c r="A448" s="41" t="s">
        <v>467</v>
      </c>
      <c r="B448" s="58" t="s">
        <v>468</v>
      </c>
      <c r="C448" s="61" t="s">
        <v>20</v>
      </c>
      <c r="D448" s="55"/>
      <c r="E448" s="35">
        <v>1781.79</v>
      </c>
      <c r="F448" s="35">
        <f>ROUND(E448*1.2493,2)</f>
        <v>2225.99</v>
      </c>
      <c r="G448" s="36">
        <f>ROUND(F448*D448,2)</f>
        <v>0</v>
      </c>
      <c r="H448" s="28">
        <v>2</v>
      </c>
      <c r="I448" s="38"/>
      <c r="J448" s="154"/>
      <c r="L448" s="40">
        <f t="shared" si="22"/>
        <v>0</v>
      </c>
      <c r="M448" s="30">
        <f t="shared" si="20"/>
        <v>0</v>
      </c>
    </row>
    <row r="449" spans="1:13" s="30" customFormat="1" ht="18.75" hidden="1">
      <c r="A449" s="41"/>
      <c r="B449" s="58"/>
      <c r="C449" s="61"/>
      <c r="D449" s="55"/>
      <c r="E449" s="35"/>
      <c r="F449" s="35"/>
      <c r="G449" s="36"/>
      <c r="H449" s="28"/>
      <c r="I449" s="38"/>
      <c r="J449" s="154"/>
      <c r="L449" s="40">
        <f t="shared" si="22"/>
        <v>0</v>
      </c>
      <c r="M449" s="30">
        <f t="shared" si="20"/>
        <v>0</v>
      </c>
    </row>
    <row r="450" spans="1:13" s="30" customFormat="1" ht="18.75" hidden="1">
      <c r="A450" s="41"/>
      <c r="B450" s="58"/>
      <c r="C450" s="61"/>
      <c r="D450" s="55"/>
      <c r="E450" s="35"/>
      <c r="F450" s="35"/>
      <c r="G450" s="36"/>
      <c r="H450" s="28"/>
      <c r="I450" s="38"/>
      <c r="J450" s="154"/>
      <c r="L450" s="40">
        <f t="shared" si="22"/>
        <v>0</v>
      </c>
      <c r="M450" s="30">
        <f t="shared" si="20"/>
        <v>0</v>
      </c>
    </row>
    <row r="451" spans="1:13" s="30" customFormat="1" ht="18.75" hidden="1">
      <c r="A451" s="41" t="s">
        <v>469</v>
      </c>
      <c r="B451" s="58" t="s">
        <v>470</v>
      </c>
      <c r="C451" s="61" t="s">
        <v>20</v>
      </c>
      <c r="D451" s="55"/>
      <c r="E451" s="35">
        <v>1183.78</v>
      </c>
      <c r="F451" s="35">
        <f>ROUND(E451*1.2493,2)</f>
        <v>1478.9</v>
      </c>
      <c r="G451" s="36">
        <f>ROUND(F451*D451,2)</f>
        <v>0</v>
      </c>
      <c r="H451" s="28">
        <v>1</v>
      </c>
      <c r="I451" s="38"/>
      <c r="J451" s="154"/>
      <c r="L451" s="40">
        <f t="shared" si="22"/>
        <v>0</v>
      </c>
      <c r="M451" s="30">
        <f t="shared" si="20"/>
        <v>0</v>
      </c>
    </row>
    <row r="452" spans="1:13" s="30" customFormat="1" ht="18.75" hidden="1">
      <c r="A452" s="41"/>
      <c r="B452" s="58"/>
      <c r="C452" s="61"/>
      <c r="D452" s="55"/>
      <c r="E452" s="35"/>
      <c r="F452" s="35"/>
      <c r="G452" s="36"/>
      <c r="H452" s="28"/>
      <c r="I452" s="38"/>
      <c r="J452" s="154"/>
      <c r="L452" s="40"/>
      <c r="M452" s="30">
        <f t="shared" si="20"/>
        <v>0</v>
      </c>
    </row>
    <row r="453" spans="1:13" s="30" customFormat="1" ht="18.75">
      <c r="A453" s="41"/>
      <c r="B453" s="58"/>
      <c r="C453" s="196" t="s">
        <v>34</v>
      </c>
      <c r="D453" s="196"/>
      <c r="E453" s="196"/>
      <c r="F453" s="138"/>
      <c r="G453" s="51">
        <f>G433+G439+G441+G443+G446+G448+G451</f>
        <v>0</v>
      </c>
      <c r="H453" s="28"/>
      <c r="I453" s="38"/>
      <c r="J453" s="154"/>
      <c r="L453" s="152">
        <f>SUM(L430:L451)</f>
        <v>0</v>
      </c>
      <c r="M453" s="30">
        <f t="shared" si="20"/>
        <v>0</v>
      </c>
    </row>
    <row r="454" spans="1:13" s="30" customFormat="1" ht="18.75">
      <c r="A454" s="23" t="s">
        <v>471</v>
      </c>
      <c r="B454" s="24" t="s">
        <v>472</v>
      </c>
      <c r="C454" s="61"/>
      <c r="D454" s="55"/>
      <c r="E454" s="67"/>
      <c r="F454" s="67"/>
      <c r="G454" s="36"/>
      <c r="H454" s="28"/>
      <c r="I454" s="38"/>
      <c r="J454" s="154"/>
      <c r="L454" s="40"/>
      <c r="M454" s="30">
        <f t="shared" si="20"/>
        <v>0</v>
      </c>
    </row>
    <row r="455" spans="1:13" s="30" customFormat="1" ht="63">
      <c r="A455" s="41" t="s">
        <v>473</v>
      </c>
      <c r="B455" s="58" t="s">
        <v>474</v>
      </c>
      <c r="C455" s="61" t="s">
        <v>86</v>
      </c>
      <c r="D455" s="55">
        <f>4.26+0.36+2.18</f>
        <v>6.800000000000001</v>
      </c>
      <c r="E455" s="35">
        <v>16.8</v>
      </c>
      <c r="F455" s="35">
        <f>ROUND(E455*1.2288,2)</f>
        <v>20.64</v>
      </c>
      <c r="G455" s="36">
        <f>ROUND(F455*D455,2)</f>
        <v>140.35</v>
      </c>
      <c r="H455" s="28" t="s">
        <v>475</v>
      </c>
      <c r="I455" s="38" t="s">
        <v>476</v>
      </c>
      <c r="J455" s="154"/>
      <c r="L455" s="40"/>
      <c r="M455" s="30">
        <f t="shared" si="20"/>
        <v>114.24000000000002</v>
      </c>
    </row>
    <row r="456" spans="1:12" s="30" customFormat="1" ht="18.75">
      <c r="A456" s="41"/>
      <c r="B456" s="46"/>
      <c r="C456" s="61"/>
      <c r="D456" s="55"/>
      <c r="E456" s="67"/>
      <c r="F456" s="67"/>
      <c r="G456" s="36"/>
      <c r="H456" s="28"/>
      <c r="I456" s="38"/>
      <c r="J456" s="154"/>
      <c r="L456" s="40"/>
    </row>
    <row r="457" spans="1:13" s="21" customFormat="1" ht="18" customHeight="1">
      <c r="A457" s="95"/>
      <c r="B457" s="94"/>
      <c r="C457" s="196" t="s">
        <v>34</v>
      </c>
      <c r="D457" s="196"/>
      <c r="E457" s="196"/>
      <c r="F457" s="138"/>
      <c r="G457" s="51">
        <f>G455</f>
        <v>140.35</v>
      </c>
      <c r="H457" s="28"/>
      <c r="I457" s="38"/>
      <c r="J457" s="39"/>
      <c r="L457" s="152">
        <f>D455*F455</f>
        <v>140.35200000000003</v>
      </c>
      <c r="M457" s="30">
        <f>SUM(M7:M455)</f>
        <v>469753.2698000002</v>
      </c>
    </row>
    <row r="458" spans="1:13" s="21" customFormat="1" ht="18.75" customHeight="1">
      <c r="A458" s="96"/>
      <c r="B458" s="97"/>
      <c r="C458" s="196" t="s">
        <v>477</v>
      </c>
      <c r="D458" s="196"/>
      <c r="E458" s="196"/>
      <c r="F458" s="138"/>
      <c r="G458" s="51">
        <f>G457+G428+G419+G376+G366+G355+G334+G316+G317+G299+G288+G289+G200+G178+G102+G87+G80+G70+G43+G24+G453</f>
        <v>592476.6258777601</v>
      </c>
      <c r="H458" s="28"/>
      <c r="I458" s="98"/>
      <c r="J458" s="99"/>
      <c r="L458" s="40"/>
      <c r="M458" s="30"/>
    </row>
    <row r="459" spans="1:13" s="21" customFormat="1" ht="18.75" customHeight="1">
      <c r="A459" s="96"/>
      <c r="B459" s="100"/>
      <c r="C459" s="145">
        <f>IF(+D3=2%,24.93%,IF(D3=3%,24.93%,IF(D3=4%,24.93%,IF(D3=5%,24.93%,0))))</f>
        <v>0.2493</v>
      </c>
      <c r="D459" s="201" t="s">
        <v>478</v>
      </c>
      <c r="E459" s="201"/>
      <c r="F459" s="138"/>
      <c r="G459" s="101"/>
      <c r="H459" s="102"/>
      <c r="I459" s="98"/>
      <c r="J459" s="99"/>
      <c r="L459" s="40"/>
      <c r="M459" s="30"/>
    </row>
    <row r="460" spans="1:13" s="21" customFormat="1" ht="18.75" customHeight="1">
      <c r="A460" s="96"/>
      <c r="B460" s="100"/>
      <c r="C460" s="145">
        <f>IF(+D3=2%,20.94%,IF(D3=3%,21.58%,IF(D3=4%,22.23%,IF(D3=5%,22.88%,0))))</f>
        <v>0.2288</v>
      </c>
      <c r="D460" s="196" t="s">
        <v>479</v>
      </c>
      <c r="E460" s="196"/>
      <c r="F460" s="138"/>
      <c r="G460" s="101"/>
      <c r="H460" s="102"/>
      <c r="I460" s="98"/>
      <c r="J460" s="99"/>
      <c r="L460" s="30"/>
      <c r="M460" s="30"/>
    </row>
    <row r="461" spans="1:13" s="21" customFormat="1" ht="18.75" customHeight="1">
      <c r="A461" s="96"/>
      <c r="B461" s="100"/>
      <c r="C461" s="194" t="s">
        <v>480</v>
      </c>
      <c r="D461" s="194"/>
      <c r="E461" s="194"/>
      <c r="F461" s="143"/>
      <c r="G461" s="103">
        <f>SUM(G458:G460)</f>
        <v>592476.6258777601</v>
      </c>
      <c r="H461" s="104"/>
      <c r="I461" s="98"/>
      <c r="J461" s="99"/>
      <c r="L461" s="31">
        <f>+L457++L70+L453+L427+L419+L375+L365+L354+L334+L317+L299+L288+L200+L177+L102+L87+L79+L42+L23</f>
        <v>577243.7717617602</v>
      </c>
      <c r="M461" s="30"/>
    </row>
    <row r="462" spans="1:18" ht="36" customHeight="1">
      <c r="A462" s="195"/>
      <c r="B462" s="195"/>
      <c r="C462" s="195"/>
      <c r="D462" s="195"/>
      <c r="E462" s="195"/>
      <c r="F462" s="195"/>
      <c r="G462" s="195"/>
      <c r="H462" s="195"/>
      <c r="I462" s="105" t="s">
        <v>481</v>
      </c>
      <c r="J462" s="106" t="s">
        <v>482</v>
      </c>
      <c r="K462" s="197"/>
      <c r="L462" s="197"/>
      <c r="M462" s="197"/>
      <c r="N462" s="197"/>
      <c r="O462" s="197"/>
      <c r="P462" s="197"/>
      <c r="Q462" s="197"/>
      <c r="R462" s="197"/>
    </row>
    <row r="463" spans="1:10" s="110" customFormat="1" ht="60" customHeight="1">
      <c r="A463" s="198" t="s">
        <v>510</v>
      </c>
      <c r="B463" s="198"/>
      <c r="C463" s="198"/>
      <c r="D463" s="198"/>
      <c r="E463" s="199" t="s">
        <v>505</v>
      </c>
      <c r="F463" s="199"/>
      <c r="G463" s="199"/>
      <c r="H463" s="107" t="s">
        <v>511</v>
      </c>
      <c r="I463" s="108" t="s">
        <v>535</v>
      </c>
      <c r="J463" s="109">
        <v>45309</v>
      </c>
    </row>
    <row r="464" spans="1:10" s="110" customFormat="1" ht="28.5" customHeight="1">
      <c r="A464" s="200" t="s">
        <v>504</v>
      </c>
      <c r="B464" s="200"/>
      <c r="C464" s="200"/>
      <c r="D464" s="200"/>
      <c r="E464" s="111"/>
      <c r="F464" s="111"/>
      <c r="G464" s="112"/>
      <c r="H464" s="113"/>
      <c r="I464" s="114"/>
      <c r="J464" s="115"/>
    </row>
    <row r="465" spans="1:10" s="110" customFormat="1" ht="18">
      <c r="A465" s="116"/>
      <c r="B465" s="117"/>
      <c r="C465" s="118"/>
      <c r="D465" s="168"/>
      <c r="E465" s="5"/>
      <c r="F465" s="5"/>
      <c r="G465" s="4"/>
      <c r="H465" s="119"/>
      <c r="I465" s="120"/>
      <c r="J465" s="121"/>
    </row>
    <row r="466" spans="1:10" s="110" customFormat="1" ht="18">
      <c r="A466" s="116"/>
      <c r="B466" s="117"/>
      <c r="C466" s="118"/>
      <c r="D466" s="168"/>
      <c r="E466" s="5"/>
      <c r="F466" s="5"/>
      <c r="G466" s="4"/>
      <c r="H466" s="119"/>
      <c r="I466" s="120"/>
      <c r="J466" s="121"/>
    </row>
    <row r="467" spans="1:10" s="110" customFormat="1" ht="18">
      <c r="A467" s="116"/>
      <c r="B467" s="117"/>
      <c r="C467" s="118"/>
      <c r="D467" s="168"/>
      <c r="E467" s="5"/>
      <c r="F467" s="5"/>
      <c r="G467" s="4"/>
      <c r="H467" s="119"/>
      <c r="I467" s="120"/>
      <c r="J467" s="121"/>
    </row>
    <row r="468" spans="1:10" s="110" customFormat="1" ht="18">
      <c r="A468" s="116"/>
      <c r="B468" s="122"/>
      <c r="C468" s="118"/>
      <c r="D468" s="168"/>
      <c r="E468" s="5"/>
      <c r="F468" s="5"/>
      <c r="G468" s="4"/>
      <c r="H468" s="119"/>
      <c r="I468" s="120"/>
      <c r="J468" s="121"/>
    </row>
    <row r="469" spans="1:10" s="110" customFormat="1" ht="18">
      <c r="A469" s="1"/>
      <c r="B469" s="2"/>
      <c r="C469" s="3"/>
      <c r="D469" s="168"/>
      <c r="E469" s="5"/>
      <c r="F469" s="5"/>
      <c r="G469" s="4"/>
      <c r="H469" s="119"/>
      <c r="I469" s="120"/>
      <c r="J469" s="121"/>
    </row>
    <row r="470" spans="1:10" s="110" customFormat="1" ht="18">
      <c r="A470" s="1"/>
      <c r="B470" s="2"/>
      <c r="C470" s="3"/>
      <c r="D470" s="168"/>
      <c r="E470" s="5"/>
      <c r="F470" s="5"/>
      <c r="G470" s="4"/>
      <c r="H470" s="119"/>
      <c r="I470" s="120"/>
      <c r="J470" s="121"/>
    </row>
    <row r="471" spans="1:10" s="110" customFormat="1" ht="18">
      <c r="A471" s="1"/>
      <c r="B471" s="2"/>
      <c r="C471" s="3"/>
      <c r="D471" s="168"/>
      <c r="E471" s="5"/>
      <c r="F471" s="5"/>
      <c r="G471" s="4"/>
      <c r="H471" s="119"/>
      <c r="I471" s="120"/>
      <c r="J471" s="121"/>
    </row>
    <row r="472" spans="1:10" s="110" customFormat="1" ht="18">
      <c r="A472" s="1"/>
      <c r="B472" s="2"/>
      <c r="C472" s="3"/>
      <c r="D472" s="168"/>
      <c r="E472" s="5"/>
      <c r="F472" s="5"/>
      <c r="G472" s="139">
        <v>572825.0900826431</v>
      </c>
      <c r="H472" s="119">
        <f>12532.39+7043.09+57172.8+32031.25+15399.19+9988.56+11573.98+12879.15+19191.69+4709.74+11819.59+22908.83+24125.08+11743.33+103.95+298281.16+5232.56+15948.4+140.35</f>
        <v>572825.0900000001</v>
      </c>
      <c r="I472" s="120"/>
      <c r="J472" s="121"/>
    </row>
    <row r="473" spans="1:10" s="110" customFormat="1" ht="18">
      <c r="A473" s="1"/>
      <c r="B473" s="2"/>
      <c r="C473" s="3"/>
      <c r="D473" s="168"/>
      <c r="E473" s="5"/>
      <c r="F473" s="5"/>
      <c r="G473" s="4"/>
      <c r="H473" s="119"/>
      <c r="I473" s="120"/>
      <c r="J473" s="121"/>
    </row>
    <row r="474" spans="1:10" s="110" customFormat="1" ht="18">
      <c r="A474" s="1"/>
      <c r="B474" s="2"/>
      <c r="C474" s="3"/>
      <c r="D474" s="168"/>
      <c r="E474" s="5"/>
      <c r="F474" s="5"/>
      <c r="G474" s="144"/>
      <c r="H474" s="119"/>
      <c r="I474" s="120"/>
      <c r="J474" s="121"/>
    </row>
    <row r="475" spans="1:10" s="110" customFormat="1" ht="18">
      <c r="A475" s="1"/>
      <c r="B475" s="2"/>
      <c r="C475" s="3"/>
      <c r="D475" s="168"/>
      <c r="E475" s="5"/>
      <c r="F475" s="5"/>
      <c r="G475" s="4"/>
      <c r="H475" s="119"/>
      <c r="I475" s="120"/>
      <c r="J475" s="121"/>
    </row>
    <row r="476" spans="1:10" s="110" customFormat="1" ht="18">
      <c r="A476" s="1"/>
      <c r="B476" s="2"/>
      <c r="C476" s="3"/>
      <c r="D476" s="168"/>
      <c r="E476" s="5"/>
      <c r="F476" s="5"/>
      <c r="G476" s="4"/>
      <c r="H476" s="119"/>
      <c r="I476" s="120"/>
      <c r="J476" s="121"/>
    </row>
    <row r="477" spans="1:10" s="110" customFormat="1" ht="18">
      <c r="A477" s="1"/>
      <c r="B477" s="2"/>
      <c r="C477" s="3"/>
      <c r="D477" s="168"/>
      <c r="E477" s="5"/>
      <c r="F477" s="5"/>
      <c r="G477" s="4"/>
      <c r="H477" s="119"/>
      <c r="I477" s="120"/>
      <c r="J477" s="121"/>
    </row>
    <row r="478" spans="1:10" s="110" customFormat="1" ht="18">
      <c r="A478" s="1"/>
      <c r="B478" s="2"/>
      <c r="C478" s="3"/>
      <c r="D478" s="168"/>
      <c r="E478" s="5"/>
      <c r="F478" s="5"/>
      <c r="G478" s="4"/>
      <c r="H478" s="119"/>
      <c r="I478" s="120"/>
      <c r="J478" s="121"/>
    </row>
    <row r="479" spans="1:10" s="110" customFormat="1" ht="18">
      <c r="A479" s="1"/>
      <c r="B479" s="2"/>
      <c r="C479" s="3"/>
      <c r="D479" s="168"/>
      <c r="E479" s="5"/>
      <c r="F479" s="5"/>
      <c r="G479" s="4"/>
      <c r="H479" s="119"/>
      <c r="I479" s="120"/>
      <c r="J479" s="121"/>
    </row>
    <row r="480" spans="1:10" s="110" customFormat="1" ht="18">
      <c r="A480" s="1"/>
      <c r="B480" s="2"/>
      <c r="C480" s="3"/>
      <c r="D480" s="168"/>
      <c r="E480" s="5"/>
      <c r="F480" s="5"/>
      <c r="G480" s="4"/>
      <c r="H480" s="119"/>
      <c r="I480" s="120"/>
      <c r="J480" s="121"/>
    </row>
    <row r="481" spans="1:10" s="110" customFormat="1" ht="18">
      <c r="A481" s="1"/>
      <c r="B481" s="2"/>
      <c r="C481" s="3"/>
      <c r="D481" s="168"/>
      <c r="E481" s="5"/>
      <c r="F481" s="5"/>
      <c r="G481" s="4"/>
      <c r="H481" s="119"/>
      <c r="I481" s="120"/>
      <c r="J481" s="121"/>
    </row>
    <row r="482" spans="1:10" s="110" customFormat="1" ht="18">
      <c r="A482" s="1"/>
      <c r="B482" s="2"/>
      <c r="C482" s="3"/>
      <c r="D482" s="168"/>
      <c r="E482" s="5"/>
      <c r="F482" s="5"/>
      <c r="G482" s="4"/>
      <c r="H482" s="119"/>
      <c r="I482" s="120"/>
      <c r="J482" s="121"/>
    </row>
    <row r="483" spans="1:10" s="110" customFormat="1" ht="18">
      <c r="A483" s="1"/>
      <c r="B483" s="2"/>
      <c r="C483" s="3"/>
      <c r="D483" s="168"/>
      <c r="E483" s="5"/>
      <c r="F483" s="5"/>
      <c r="G483" s="4"/>
      <c r="H483" s="119"/>
      <c r="I483" s="120"/>
      <c r="J483" s="121"/>
    </row>
    <row r="484" spans="1:10" s="110" customFormat="1" ht="18">
      <c r="A484" s="1"/>
      <c r="B484" s="2"/>
      <c r="C484" s="3"/>
      <c r="D484" s="168"/>
      <c r="E484" s="5"/>
      <c r="F484" s="5"/>
      <c r="G484" s="4"/>
      <c r="H484" s="119"/>
      <c r="I484" s="120"/>
      <c r="J484" s="121"/>
    </row>
    <row r="485" spans="1:10" s="110" customFormat="1" ht="18">
      <c r="A485" s="1"/>
      <c r="B485" s="2"/>
      <c r="C485" s="3"/>
      <c r="D485" s="168"/>
      <c r="E485" s="5"/>
      <c r="F485" s="5"/>
      <c r="G485" s="4"/>
      <c r="H485" s="119"/>
      <c r="I485" s="120"/>
      <c r="J485" s="121"/>
    </row>
    <row r="486" spans="1:10" s="110" customFormat="1" ht="18">
      <c r="A486" s="1"/>
      <c r="B486" s="2"/>
      <c r="C486" s="3"/>
      <c r="D486" s="168"/>
      <c r="E486" s="5"/>
      <c r="F486" s="5"/>
      <c r="G486" s="4"/>
      <c r="H486" s="119"/>
      <c r="I486" s="120"/>
      <c r="J486" s="121"/>
    </row>
    <row r="487" spans="1:10" s="110" customFormat="1" ht="18">
      <c r="A487" s="1"/>
      <c r="B487" s="2"/>
      <c r="C487" s="3"/>
      <c r="D487" s="168"/>
      <c r="E487" s="5"/>
      <c r="F487" s="5"/>
      <c r="G487" s="4"/>
      <c r="H487" s="119"/>
      <c r="I487" s="120"/>
      <c r="J487" s="121"/>
    </row>
    <row r="488" spans="1:10" s="110" customFormat="1" ht="18">
      <c r="A488" s="1"/>
      <c r="B488" s="2"/>
      <c r="C488" s="3"/>
      <c r="D488" s="168"/>
      <c r="E488" s="5"/>
      <c r="F488" s="5"/>
      <c r="G488" s="4"/>
      <c r="H488" s="119"/>
      <c r="I488" s="120"/>
      <c r="J488" s="121"/>
    </row>
    <row r="489" spans="1:10" s="110" customFormat="1" ht="18">
      <c r="A489" s="1"/>
      <c r="B489" s="2"/>
      <c r="C489" s="3"/>
      <c r="D489" s="168"/>
      <c r="E489" s="5"/>
      <c r="F489" s="5"/>
      <c r="G489" s="4"/>
      <c r="H489" s="119"/>
      <c r="I489" s="120"/>
      <c r="J489" s="121"/>
    </row>
    <row r="490" spans="1:10" s="110" customFormat="1" ht="18">
      <c r="A490" s="1"/>
      <c r="B490" s="2"/>
      <c r="C490" s="3"/>
      <c r="D490" s="168"/>
      <c r="E490" s="5"/>
      <c r="F490" s="5"/>
      <c r="G490" s="4"/>
      <c r="H490" s="119"/>
      <c r="I490" s="120"/>
      <c r="J490" s="121"/>
    </row>
    <row r="491" spans="1:10" s="110" customFormat="1" ht="18">
      <c r="A491" s="1"/>
      <c r="B491" s="2"/>
      <c r="C491" s="3"/>
      <c r="D491" s="168"/>
      <c r="E491" s="5"/>
      <c r="F491" s="5"/>
      <c r="G491" s="4"/>
      <c r="H491" s="119"/>
      <c r="I491" s="120"/>
      <c r="J491" s="121"/>
    </row>
    <row r="492" spans="1:10" s="110" customFormat="1" ht="18">
      <c r="A492" s="1"/>
      <c r="B492" s="2"/>
      <c r="C492" s="3"/>
      <c r="D492" s="168"/>
      <c r="E492" s="5"/>
      <c r="F492" s="5"/>
      <c r="G492" s="4"/>
      <c r="H492" s="119"/>
      <c r="I492" s="120"/>
      <c r="J492" s="121"/>
    </row>
    <row r="493" spans="1:10" s="110" customFormat="1" ht="18">
      <c r="A493" s="1"/>
      <c r="B493" s="2"/>
      <c r="C493" s="3"/>
      <c r="D493" s="168"/>
      <c r="E493" s="5"/>
      <c r="F493" s="5"/>
      <c r="G493" s="4"/>
      <c r="H493" s="119"/>
      <c r="I493" s="120"/>
      <c r="J493" s="121"/>
    </row>
    <row r="494" spans="1:10" s="110" customFormat="1" ht="18">
      <c r="A494" s="1"/>
      <c r="B494" s="2"/>
      <c r="C494" s="3"/>
      <c r="D494" s="168"/>
      <c r="E494" s="5"/>
      <c r="F494" s="5"/>
      <c r="G494" s="4"/>
      <c r="H494" s="119"/>
      <c r="I494" s="120"/>
      <c r="J494" s="121"/>
    </row>
    <row r="495" spans="1:10" s="110" customFormat="1" ht="18">
      <c r="A495" s="1"/>
      <c r="B495" s="2"/>
      <c r="C495" s="3"/>
      <c r="D495" s="168"/>
      <c r="E495" s="5"/>
      <c r="F495" s="5"/>
      <c r="G495" s="4"/>
      <c r="H495" s="119"/>
      <c r="I495" s="120"/>
      <c r="J495" s="121"/>
    </row>
    <row r="496" spans="1:10" s="110" customFormat="1" ht="18">
      <c r="A496" s="1"/>
      <c r="B496" s="2"/>
      <c r="C496" s="3"/>
      <c r="D496" s="168"/>
      <c r="E496" s="5"/>
      <c r="F496" s="5"/>
      <c r="G496" s="4"/>
      <c r="H496" s="119"/>
      <c r="I496" s="120"/>
      <c r="J496" s="121"/>
    </row>
    <row r="497" spans="1:10" s="110" customFormat="1" ht="18">
      <c r="A497" s="1"/>
      <c r="B497" s="2"/>
      <c r="C497" s="3"/>
      <c r="D497" s="168"/>
      <c r="E497" s="5"/>
      <c r="F497" s="5"/>
      <c r="G497" s="4"/>
      <c r="H497" s="119"/>
      <c r="I497" s="120"/>
      <c r="J497" s="121"/>
    </row>
    <row r="498" spans="1:10" s="110" customFormat="1" ht="18">
      <c r="A498" s="1"/>
      <c r="B498" s="2"/>
      <c r="C498" s="3"/>
      <c r="D498" s="168"/>
      <c r="E498" s="5"/>
      <c r="F498" s="5"/>
      <c r="G498" s="4"/>
      <c r="H498" s="119"/>
      <c r="I498" s="120"/>
      <c r="J498" s="121"/>
    </row>
    <row r="499" spans="1:10" s="110" customFormat="1" ht="18">
      <c r="A499" s="1"/>
      <c r="B499" s="2"/>
      <c r="C499" s="3"/>
      <c r="D499" s="168"/>
      <c r="E499" s="5"/>
      <c r="F499" s="5"/>
      <c r="G499" s="4"/>
      <c r="H499" s="119"/>
      <c r="I499" s="120"/>
      <c r="J499" s="121"/>
    </row>
    <row r="500" spans="1:10" s="110" customFormat="1" ht="18">
      <c r="A500" s="1"/>
      <c r="B500" s="2"/>
      <c r="C500" s="3"/>
      <c r="D500" s="168"/>
      <c r="E500" s="5"/>
      <c r="F500" s="5"/>
      <c r="G500" s="4"/>
      <c r="H500" s="119"/>
      <c r="I500" s="120"/>
      <c r="J500" s="121"/>
    </row>
    <row r="501" spans="1:10" s="110" customFormat="1" ht="18">
      <c r="A501" s="1"/>
      <c r="B501" s="2"/>
      <c r="C501" s="3"/>
      <c r="D501" s="168"/>
      <c r="E501" s="5"/>
      <c r="F501" s="5"/>
      <c r="G501" s="4"/>
      <c r="H501" s="119"/>
      <c r="I501" s="120"/>
      <c r="J501" s="121"/>
    </row>
    <row r="502" spans="1:10" s="110" customFormat="1" ht="18">
      <c r="A502" s="1"/>
      <c r="B502" s="2"/>
      <c r="C502" s="3"/>
      <c r="D502" s="168"/>
      <c r="E502" s="5"/>
      <c r="F502" s="5"/>
      <c r="G502" s="4"/>
      <c r="H502" s="119"/>
      <c r="I502" s="120"/>
      <c r="J502" s="121"/>
    </row>
    <row r="503" spans="1:10" s="110" customFormat="1" ht="18">
      <c r="A503" s="1"/>
      <c r="B503" s="2"/>
      <c r="C503" s="3"/>
      <c r="D503" s="168"/>
      <c r="E503" s="5"/>
      <c r="F503" s="5"/>
      <c r="G503" s="4"/>
      <c r="H503" s="119"/>
      <c r="I503" s="120"/>
      <c r="J503" s="121"/>
    </row>
    <row r="504" spans="1:10" s="110" customFormat="1" ht="18">
      <c r="A504" s="1"/>
      <c r="B504" s="2"/>
      <c r="C504" s="3"/>
      <c r="D504" s="168"/>
      <c r="E504" s="5"/>
      <c r="F504" s="5"/>
      <c r="G504" s="4"/>
      <c r="H504" s="119"/>
      <c r="I504" s="120"/>
      <c r="J504" s="121"/>
    </row>
    <row r="505" spans="1:10" s="110" customFormat="1" ht="18">
      <c r="A505" s="1"/>
      <c r="B505" s="2"/>
      <c r="C505" s="3"/>
      <c r="D505" s="168"/>
      <c r="E505" s="5"/>
      <c r="F505" s="5"/>
      <c r="G505" s="4"/>
      <c r="H505" s="119"/>
      <c r="I505" s="120"/>
      <c r="J505" s="121"/>
    </row>
    <row r="506" spans="1:10" s="110" customFormat="1" ht="18">
      <c r="A506" s="1"/>
      <c r="B506" s="2"/>
      <c r="C506" s="3"/>
      <c r="D506" s="168"/>
      <c r="E506" s="5"/>
      <c r="F506" s="5"/>
      <c r="G506" s="4"/>
      <c r="H506" s="119"/>
      <c r="I506" s="120"/>
      <c r="J506" s="121"/>
    </row>
    <row r="507" spans="1:10" s="110" customFormat="1" ht="18">
      <c r="A507" s="1"/>
      <c r="B507" s="2"/>
      <c r="C507" s="3"/>
      <c r="D507" s="168"/>
      <c r="E507" s="5"/>
      <c r="F507" s="5"/>
      <c r="G507" s="4"/>
      <c r="H507" s="119"/>
      <c r="I507" s="120"/>
      <c r="J507" s="121"/>
    </row>
    <row r="508" spans="1:10" s="110" customFormat="1" ht="18">
      <c r="A508" s="1"/>
      <c r="B508" s="2"/>
      <c r="C508" s="3"/>
      <c r="D508" s="168"/>
      <c r="E508" s="5"/>
      <c r="F508" s="5"/>
      <c r="G508" s="4"/>
      <c r="H508" s="119"/>
      <c r="I508" s="120"/>
      <c r="J508" s="121"/>
    </row>
    <row r="509" spans="1:10" s="110" customFormat="1" ht="18">
      <c r="A509" s="1"/>
      <c r="B509" s="2"/>
      <c r="C509" s="3"/>
      <c r="D509" s="168"/>
      <c r="E509" s="5"/>
      <c r="F509" s="5"/>
      <c r="G509" s="4"/>
      <c r="H509" s="119"/>
      <c r="I509" s="120"/>
      <c r="J509" s="121"/>
    </row>
    <row r="510" spans="1:10" s="110" customFormat="1" ht="18">
      <c r="A510" s="1"/>
      <c r="B510" s="2"/>
      <c r="C510" s="3"/>
      <c r="D510" s="168"/>
      <c r="E510" s="5"/>
      <c r="F510" s="5"/>
      <c r="G510" s="4"/>
      <c r="H510" s="119"/>
      <c r="I510" s="120"/>
      <c r="J510" s="121"/>
    </row>
    <row r="511" spans="1:10" s="110" customFormat="1" ht="18">
      <c r="A511" s="1"/>
      <c r="B511" s="2"/>
      <c r="C511" s="3"/>
      <c r="D511" s="168"/>
      <c r="E511" s="5"/>
      <c r="F511" s="5"/>
      <c r="G511" s="4"/>
      <c r="H511" s="119"/>
      <c r="I511" s="120"/>
      <c r="J511" s="121"/>
    </row>
    <row r="512" spans="1:10" s="110" customFormat="1" ht="18">
      <c r="A512" s="1"/>
      <c r="B512" s="2"/>
      <c r="C512" s="3"/>
      <c r="D512" s="168"/>
      <c r="E512" s="5"/>
      <c r="F512" s="5"/>
      <c r="G512" s="4"/>
      <c r="H512" s="119"/>
      <c r="I512" s="120"/>
      <c r="J512" s="121"/>
    </row>
    <row r="513" spans="1:10" s="110" customFormat="1" ht="18">
      <c r="A513" s="1"/>
      <c r="B513" s="2"/>
      <c r="C513" s="3"/>
      <c r="D513" s="168"/>
      <c r="E513" s="5"/>
      <c r="F513" s="5"/>
      <c r="G513" s="4"/>
      <c r="H513" s="119"/>
      <c r="I513" s="120"/>
      <c r="J513" s="121"/>
    </row>
    <row r="514" spans="1:10" s="110" customFormat="1" ht="18">
      <c r="A514" s="1"/>
      <c r="B514" s="2"/>
      <c r="C514" s="3"/>
      <c r="D514" s="168"/>
      <c r="E514" s="5"/>
      <c r="F514" s="5"/>
      <c r="G514" s="4"/>
      <c r="H514" s="119"/>
      <c r="I514" s="120"/>
      <c r="J514" s="121"/>
    </row>
    <row r="515" spans="1:10" s="110" customFormat="1" ht="18">
      <c r="A515" s="1"/>
      <c r="B515" s="2"/>
      <c r="C515" s="3"/>
      <c r="D515" s="168"/>
      <c r="E515" s="5"/>
      <c r="F515" s="5"/>
      <c r="G515" s="4"/>
      <c r="H515" s="119"/>
      <c r="I515" s="120"/>
      <c r="J515" s="121"/>
    </row>
    <row r="516" spans="1:10" s="110" customFormat="1" ht="18">
      <c r="A516" s="1"/>
      <c r="B516" s="2"/>
      <c r="C516" s="3"/>
      <c r="D516" s="168"/>
      <c r="E516" s="5"/>
      <c r="F516" s="5"/>
      <c r="G516" s="4"/>
      <c r="H516" s="119"/>
      <c r="I516" s="120"/>
      <c r="J516" s="121"/>
    </row>
    <row r="517" spans="1:10" s="110" customFormat="1" ht="18">
      <c r="A517" s="1"/>
      <c r="B517" s="2"/>
      <c r="C517" s="3"/>
      <c r="D517" s="168"/>
      <c r="E517" s="5"/>
      <c r="F517" s="5"/>
      <c r="G517" s="4"/>
      <c r="H517" s="119"/>
      <c r="I517" s="120"/>
      <c r="J517" s="121"/>
    </row>
    <row r="518" spans="1:10" s="110" customFormat="1" ht="18">
      <c r="A518" s="1"/>
      <c r="B518" s="2"/>
      <c r="C518" s="3"/>
      <c r="D518" s="168"/>
      <c r="E518" s="5"/>
      <c r="F518" s="5"/>
      <c r="G518" s="4"/>
      <c r="H518" s="119"/>
      <c r="I518" s="120"/>
      <c r="J518" s="121"/>
    </row>
    <row r="519" spans="1:10" s="110" customFormat="1" ht="18">
      <c r="A519" s="1"/>
      <c r="B519" s="2"/>
      <c r="C519" s="3"/>
      <c r="D519" s="168"/>
      <c r="E519" s="5"/>
      <c r="F519" s="5"/>
      <c r="G519" s="4"/>
      <c r="H519" s="119"/>
      <c r="I519" s="120"/>
      <c r="J519" s="121"/>
    </row>
    <row r="520" spans="1:10" s="110" customFormat="1" ht="18">
      <c r="A520" s="1"/>
      <c r="B520" s="2"/>
      <c r="C520" s="3"/>
      <c r="D520" s="168"/>
      <c r="E520" s="5"/>
      <c r="F520" s="5"/>
      <c r="G520" s="4"/>
      <c r="H520" s="119"/>
      <c r="I520" s="120"/>
      <c r="J520" s="121"/>
    </row>
    <row r="521" spans="1:10" s="110" customFormat="1" ht="18">
      <c r="A521" s="1"/>
      <c r="B521" s="2"/>
      <c r="C521" s="3"/>
      <c r="D521" s="168"/>
      <c r="E521" s="5"/>
      <c r="F521" s="5"/>
      <c r="G521" s="4"/>
      <c r="H521" s="119"/>
      <c r="I521" s="120"/>
      <c r="J521" s="121"/>
    </row>
    <row r="522" spans="1:10" s="110" customFormat="1" ht="18">
      <c r="A522" s="1"/>
      <c r="B522" s="2"/>
      <c r="C522" s="3"/>
      <c r="D522" s="168"/>
      <c r="E522" s="5"/>
      <c r="F522" s="5"/>
      <c r="G522" s="4"/>
      <c r="H522" s="119"/>
      <c r="I522" s="120"/>
      <c r="J522" s="121"/>
    </row>
    <row r="523" spans="8:11" ht="18">
      <c r="H523" s="119"/>
      <c r="I523" s="120"/>
      <c r="J523" s="121"/>
      <c r="K523" s="110"/>
    </row>
    <row r="524" ht="18">
      <c r="H524" s="119"/>
    </row>
    <row r="525" ht="18">
      <c r="H525" s="119"/>
    </row>
    <row r="526" ht="18">
      <c r="H526" s="119"/>
    </row>
    <row r="527" spans="1:7" ht="15.75">
      <c r="A527" s="9"/>
      <c r="C527" s="123"/>
      <c r="D527" s="169"/>
      <c r="E527" s="124"/>
      <c r="F527" s="124"/>
      <c r="G527" s="123"/>
    </row>
    <row r="528" spans="1:7" ht="15.75">
      <c r="A528" s="9"/>
      <c r="C528" s="123"/>
      <c r="D528" s="169"/>
      <c r="E528" s="124"/>
      <c r="F528" s="124"/>
      <c r="G528" s="123"/>
    </row>
    <row r="529" spans="1:7" ht="15.75">
      <c r="A529" s="9"/>
      <c r="C529" s="123"/>
      <c r="D529" s="169"/>
      <c r="E529" s="124"/>
      <c r="F529" s="124"/>
      <c r="G529" s="123"/>
    </row>
  </sheetData>
  <sheetProtection selectLockedCells="1" selectUnlockedCells="1"/>
  <autoFilter ref="G1:G64238"/>
  <mergeCells count="47">
    <mergeCell ref="A462:H462"/>
    <mergeCell ref="C453:E453"/>
    <mergeCell ref="K462:R462"/>
    <mergeCell ref="A463:D463"/>
    <mergeCell ref="E463:G463"/>
    <mergeCell ref="A464:D464"/>
    <mergeCell ref="C457:E457"/>
    <mergeCell ref="C458:E458"/>
    <mergeCell ref="D459:E459"/>
    <mergeCell ref="D460:E460"/>
    <mergeCell ref="C461:E461"/>
    <mergeCell ref="C334:E334"/>
    <mergeCell ref="C355:E355"/>
    <mergeCell ref="C366:E366"/>
    <mergeCell ref="C376:E376"/>
    <mergeCell ref="C419:E419"/>
    <mergeCell ref="C428:E428"/>
    <mergeCell ref="C102:E102"/>
    <mergeCell ref="C178:E178"/>
    <mergeCell ref="C200:E200"/>
    <mergeCell ref="C289:E289"/>
    <mergeCell ref="C299:E299"/>
    <mergeCell ref="C317:E317"/>
    <mergeCell ref="C43:E43"/>
    <mergeCell ref="C70:E70"/>
    <mergeCell ref="C80:E80"/>
    <mergeCell ref="C87:E87"/>
    <mergeCell ref="H26:I26"/>
    <mergeCell ref="H73:I73"/>
    <mergeCell ref="H54:I54"/>
    <mergeCell ref="B4:B5"/>
    <mergeCell ref="C4:C5"/>
    <mergeCell ref="D4:E4"/>
    <mergeCell ref="H4:J4"/>
    <mergeCell ref="H5:J5"/>
    <mergeCell ref="C24:E24"/>
    <mergeCell ref="H22:I22"/>
    <mergeCell ref="H363:H364"/>
    <mergeCell ref="A69:A70"/>
    <mergeCell ref="H48:I49"/>
    <mergeCell ref="H45:I46"/>
    <mergeCell ref="B1:J1"/>
    <mergeCell ref="A2:B2"/>
    <mergeCell ref="C2:D2"/>
    <mergeCell ref="H2:J2"/>
    <mergeCell ref="A3:B3"/>
    <mergeCell ref="A4:A5"/>
  </mergeCells>
  <printOptions horizontalCentered="1"/>
  <pageMargins left="0.39375" right="0.19652777777777777" top="0.19652777777777777" bottom="0.31527777777777777" header="0.5118055555555555" footer="0.31527777777777777"/>
  <pageSetup horizontalDpi="300" verticalDpi="300" orientation="landscape" paperSize="9" scale="48" r:id="rId2"/>
  <headerFooter alignWithMargins="0">
    <oddFooter>&amp;RPágina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AB29"/>
  <sheetViews>
    <sheetView view="pageBreakPreview" zoomScale="62" zoomScaleNormal="93" zoomScaleSheetLayoutView="62" zoomScalePageLayoutView="0" workbookViewId="0" topLeftCell="A1">
      <selection activeCell="A29" sqref="A29:AA29"/>
    </sheetView>
  </sheetViews>
  <sheetFormatPr defaultColWidth="11.57421875" defaultRowHeight="15"/>
  <cols>
    <col min="1" max="1" width="11.57421875" style="0" customWidth="1"/>
    <col min="2" max="2" width="25.421875" style="0" customWidth="1"/>
    <col min="3" max="3" width="14.421875" style="0" bestFit="1" customWidth="1"/>
    <col min="4" max="4" width="16.28125" style="0" bestFit="1" customWidth="1"/>
    <col min="5" max="6" width="11.57421875" style="0" customWidth="1"/>
    <col min="7" max="7" width="13.00390625" style="0" bestFit="1" customWidth="1"/>
    <col min="8" max="8" width="11.57421875" style="0" customWidth="1"/>
    <col min="9" max="9" width="17.140625" style="0" customWidth="1"/>
    <col min="10" max="10" width="11.57421875" style="0" customWidth="1"/>
    <col min="11" max="11" width="14.00390625" style="0" bestFit="1" customWidth="1"/>
    <col min="12" max="12" width="11.57421875" style="0" customWidth="1"/>
    <col min="13" max="13" width="14.00390625" style="0" bestFit="1" customWidth="1"/>
    <col min="14" max="14" width="9.57421875" style="0" bestFit="1" customWidth="1"/>
    <col min="15" max="15" width="14.421875" style="0" bestFit="1" customWidth="1"/>
    <col min="16" max="16" width="11.57421875" style="0" customWidth="1"/>
    <col min="17" max="17" width="14.00390625" style="0" bestFit="1" customWidth="1"/>
    <col min="18" max="18" width="11.57421875" style="0" customWidth="1"/>
    <col min="19" max="19" width="14.421875" style="0" bestFit="1" customWidth="1"/>
    <col min="20" max="20" width="11.57421875" style="0" customWidth="1"/>
    <col min="21" max="21" width="13.57421875" style="0" bestFit="1" customWidth="1"/>
    <col min="22" max="22" width="10.00390625" style="0" bestFit="1" customWidth="1"/>
    <col min="23" max="23" width="15.00390625" style="0" customWidth="1"/>
    <col min="24" max="24" width="11.57421875" style="0" customWidth="1"/>
    <col min="25" max="25" width="16.57421875" style="0" customWidth="1"/>
    <col min="26" max="26" width="11.57421875" style="0" customWidth="1"/>
    <col min="27" max="27" width="18.421875" style="0" customWidth="1"/>
  </cols>
  <sheetData>
    <row r="1" spans="1:27" ht="18">
      <c r="A1" s="202" t="s">
        <v>483</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27" ht="12.75" customHeight="1">
      <c r="A2" s="125"/>
      <c r="B2" s="203" t="s">
        <v>536</v>
      </c>
      <c r="C2" s="203"/>
      <c r="D2" s="203"/>
      <c r="E2" s="203"/>
      <c r="F2" s="203"/>
      <c r="G2" s="203"/>
      <c r="H2" s="203"/>
      <c r="I2" s="203"/>
      <c r="J2" s="204"/>
      <c r="K2" s="204"/>
      <c r="L2" s="204"/>
      <c r="M2" s="204"/>
      <c r="N2" s="204"/>
      <c r="O2" s="204"/>
      <c r="P2" s="204"/>
      <c r="Q2" s="204"/>
      <c r="R2" s="204"/>
      <c r="S2" s="204"/>
      <c r="T2" s="204"/>
      <c r="U2" s="204"/>
      <c r="V2" s="204"/>
      <c r="W2" s="204"/>
      <c r="X2" s="204"/>
      <c r="Y2" s="204"/>
      <c r="Z2" s="204"/>
      <c r="AA2" s="204"/>
    </row>
    <row r="3" spans="1:27" ht="15.75">
      <c r="A3" s="125"/>
      <c r="B3" s="203" t="s">
        <v>537</v>
      </c>
      <c r="C3" s="203"/>
      <c r="D3" s="203"/>
      <c r="E3" s="203"/>
      <c r="F3" s="203"/>
      <c r="G3" s="203"/>
      <c r="H3" s="203"/>
      <c r="I3" s="203"/>
      <c r="J3" s="204" t="s">
        <v>484</v>
      </c>
      <c r="K3" s="204"/>
      <c r="L3" s="204"/>
      <c r="M3" s="204"/>
      <c r="N3" s="204"/>
      <c r="O3" s="204"/>
      <c r="P3" s="204"/>
      <c r="Q3" s="204"/>
      <c r="R3" s="204"/>
      <c r="S3" s="204"/>
      <c r="T3" s="204"/>
      <c r="U3" s="204"/>
      <c r="V3" s="204"/>
      <c r="W3" s="204"/>
      <c r="X3" s="204"/>
      <c r="Y3" s="204"/>
      <c r="Z3" s="204"/>
      <c r="AA3" s="204"/>
    </row>
    <row r="4" spans="1:27" ht="15.75">
      <c r="A4" s="125"/>
      <c r="B4" s="203" t="s">
        <v>538</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row>
    <row r="5" spans="1:27" ht="12.75" customHeight="1">
      <c r="A5" s="207" t="s">
        <v>2</v>
      </c>
      <c r="B5" s="208" t="s">
        <v>3</v>
      </c>
      <c r="C5" s="209" t="s">
        <v>485</v>
      </c>
      <c r="D5" s="210" t="s">
        <v>486</v>
      </c>
      <c r="E5" s="211" t="s">
        <v>487</v>
      </c>
      <c r="F5" s="205" t="s">
        <v>488</v>
      </c>
      <c r="G5" s="205"/>
      <c r="H5" s="205" t="s">
        <v>489</v>
      </c>
      <c r="I5" s="205"/>
      <c r="J5" s="205" t="s">
        <v>490</v>
      </c>
      <c r="K5" s="205"/>
      <c r="L5" s="205" t="s">
        <v>491</v>
      </c>
      <c r="M5" s="205"/>
      <c r="N5" s="206" t="s">
        <v>492</v>
      </c>
      <c r="O5" s="206"/>
      <c r="P5" s="205" t="s">
        <v>493</v>
      </c>
      <c r="Q5" s="205"/>
      <c r="R5" s="205" t="s">
        <v>494</v>
      </c>
      <c r="S5" s="205"/>
      <c r="T5" s="205" t="s">
        <v>495</v>
      </c>
      <c r="U5" s="205"/>
      <c r="V5" s="205" t="s">
        <v>496</v>
      </c>
      <c r="W5" s="205"/>
      <c r="X5" s="205" t="s">
        <v>497</v>
      </c>
      <c r="Y5" s="205"/>
      <c r="Z5" s="205" t="s">
        <v>498</v>
      </c>
      <c r="AA5" s="205"/>
    </row>
    <row r="6" spans="1:27" ht="15">
      <c r="A6" s="207"/>
      <c r="B6" s="208"/>
      <c r="C6" s="209"/>
      <c r="D6" s="210"/>
      <c r="E6" s="211"/>
      <c r="F6" s="127" t="s">
        <v>499</v>
      </c>
      <c r="G6" s="126" t="s">
        <v>485</v>
      </c>
      <c r="H6" s="127" t="s">
        <v>499</v>
      </c>
      <c r="I6" s="126" t="s">
        <v>485</v>
      </c>
      <c r="J6" s="127" t="s">
        <v>499</v>
      </c>
      <c r="K6" s="126" t="s">
        <v>485</v>
      </c>
      <c r="L6" s="127" t="s">
        <v>499</v>
      </c>
      <c r="M6" s="126" t="s">
        <v>485</v>
      </c>
      <c r="N6" s="127" t="s">
        <v>499</v>
      </c>
      <c r="O6" s="126" t="s">
        <v>485</v>
      </c>
      <c r="P6" s="127" t="s">
        <v>499</v>
      </c>
      <c r="Q6" s="126" t="s">
        <v>485</v>
      </c>
      <c r="R6" s="127" t="s">
        <v>499</v>
      </c>
      <c r="S6" s="126" t="s">
        <v>485</v>
      </c>
      <c r="T6" s="127" t="s">
        <v>499</v>
      </c>
      <c r="U6" s="126" t="s">
        <v>485</v>
      </c>
      <c r="V6" s="127" t="s">
        <v>499</v>
      </c>
      <c r="W6" s="126" t="s">
        <v>485</v>
      </c>
      <c r="X6" s="127" t="s">
        <v>499</v>
      </c>
      <c r="Y6" s="126" t="s">
        <v>485</v>
      </c>
      <c r="Z6" s="127" t="s">
        <v>499</v>
      </c>
      <c r="AA6" s="126" t="s">
        <v>485</v>
      </c>
    </row>
    <row r="7" spans="1:27" ht="49.5" customHeight="1">
      <c r="A7" s="128">
        <v>1</v>
      </c>
      <c r="B7" s="129" t="str">
        <f>'PLANILHA QUADRA MODELO 3'!B6</f>
        <v>INSTALAÇÃO DOS SERVIÇOS DE ENGENHARIA</v>
      </c>
      <c r="C7" s="130">
        <f>'PLANILHA QUADRA MODELO 3'!G24</f>
        <v>16933.03</v>
      </c>
      <c r="D7" s="130">
        <f>C7*(1+'PLANILHA QUADRA MODELO 3'!C460)</f>
        <v>20807.307264</v>
      </c>
      <c r="E7" s="131">
        <f>D7/$D$27</f>
        <v>0.028580081070562986</v>
      </c>
      <c r="F7" s="131">
        <v>1</v>
      </c>
      <c r="G7" s="132">
        <f>D7*F7</f>
        <v>20807.307264</v>
      </c>
      <c r="H7" s="131"/>
      <c r="I7" s="132"/>
      <c r="J7" s="131"/>
      <c r="K7" s="132"/>
      <c r="L7" s="131"/>
      <c r="M7" s="132"/>
      <c r="N7" s="131"/>
      <c r="O7" s="132"/>
      <c r="P7" s="131"/>
      <c r="Q7" s="132"/>
      <c r="R7" s="131"/>
      <c r="S7" s="132"/>
      <c r="T7" s="131"/>
      <c r="U7" s="132"/>
      <c r="V7" s="131"/>
      <c r="W7" s="132"/>
      <c r="X7" s="131"/>
      <c r="Y7" s="132"/>
      <c r="Z7" s="131"/>
      <c r="AA7" s="132"/>
    </row>
    <row r="8" spans="1:27" ht="54.75" customHeight="1">
      <c r="A8" s="128">
        <v>3</v>
      </c>
      <c r="B8" s="133" t="str">
        <f>'PLANILHA QUADRA MODELO 3'!B25</f>
        <v>TRABALHOS EM TERRA</v>
      </c>
      <c r="C8" s="130">
        <f>'PLANILHA QUADRA MODELO 3'!G43</f>
        <v>14283.48</v>
      </c>
      <c r="D8" s="130">
        <f>C8*(1+'PLANILHA QUADRA MODELO 3'!C460)</f>
        <v>17551.540224</v>
      </c>
      <c r="E8" s="131">
        <f>D8/$D$27</f>
        <v>0.024108090304556542</v>
      </c>
      <c r="F8" s="131">
        <v>1</v>
      </c>
      <c r="G8" s="132">
        <f>D8*F8</f>
        <v>17551.540224</v>
      </c>
      <c r="H8" s="131"/>
      <c r="I8" s="132"/>
      <c r="J8" s="131"/>
      <c r="K8" s="132"/>
      <c r="L8" s="131"/>
      <c r="M8" s="132"/>
      <c r="N8" s="131"/>
      <c r="O8" s="132"/>
      <c r="P8" s="131"/>
      <c r="Q8" s="132"/>
      <c r="R8" s="131"/>
      <c r="S8" s="132"/>
      <c r="T8" s="131"/>
      <c r="U8" s="132"/>
      <c r="V8" s="131"/>
      <c r="W8" s="132"/>
      <c r="X8" s="131"/>
      <c r="Y8" s="132"/>
      <c r="Z8" s="131"/>
      <c r="AA8" s="132"/>
    </row>
    <row r="9" spans="1:27" ht="54.75" customHeight="1">
      <c r="A9" s="128">
        <v>4</v>
      </c>
      <c r="B9" s="133" t="str">
        <f>'PLANILHA QUADRA MODELO 3'!B44</f>
        <v>SONDAGEM, FUNDAÇÕES, MUROS E CONTENÇÕES</v>
      </c>
      <c r="C9" s="130">
        <f>'PLANILHA QUADRA MODELO 3'!G70</f>
        <v>70381.07</v>
      </c>
      <c r="D9" s="130">
        <f>C9*(1+'PLANILHA QUADRA MODELO 3'!C460)</f>
        <v>86484.25881600002</v>
      </c>
      <c r="E9" s="131">
        <f>D9/$D$27</f>
        <v>0.11879130235007963</v>
      </c>
      <c r="F9" s="131">
        <v>0.35</v>
      </c>
      <c r="G9" s="132">
        <f>D9*F9</f>
        <v>30269.490585600004</v>
      </c>
      <c r="H9" s="131">
        <v>0.65</v>
      </c>
      <c r="I9" s="132">
        <f>D9*H9</f>
        <v>56214.76823040001</v>
      </c>
      <c r="J9" s="131"/>
      <c r="K9" s="132">
        <f>D9*J9</f>
        <v>0</v>
      </c>
      <c r="L9" s="131"/>
      <c r="M9" s="132"/>
      <c r="N9" s="131"/>
      <c r="O9" s="132"/>
      <c r="P9" s="131"/>
      <c r="Q9" s="132"/>
      <c r="R9" s="131"/>
      <c r="S9" s="132"/>
      <c r="T9" s="131"/>
      <c r="U9" s="132"/>
      <c r="V9" s="131"/>
      <c r="W9" s="132"/>
      <c r="X9" s="131"/>
      <c r="Y9" s="132"/>
      <c r="Z9" s="131"/>
      <c r="AA9" s="132"/>
    </row>
    <row r="10" spans="1:27" ht="15">
      <c r="A10" s="128">
        <v>5</v>
      </c>
      <c r="B10" s="129" t="str">
        <f>'PLANILHA QUADRA MODELO 3'!B71</f>
        <v>SUPERESTRUTURA</v>
      </c>
      <c r="C10" s="130">
        <f>'PLANILHA QUADRA MODELO 3'!G80</f>
        <v>31953.940000000002</v>
      </c>
      <c r="D10" s="130">
        <f>C10*(1+'PLANILHA QUADRA MODELO 3'!C460)</f>
        <v>39265.001472</v>
      </c>
      <c r="E10" s="131">
        <f>D10/$D$27</f>
        <v>0.05393282807175713</v>
      </c>
      <c r="F10" s="131"/>
      <c r="G10" s="132"/>
      <c r="H10" s="131">
        <v>0.2</v>
      </c>
      <c r="I10" s="132">
        <f>D10*H10</f>
        <v>7853.000294400001</v>
      </c>
      <c r="J10" s="131">
        <v>0.6</v>
      </c>
      <c r="K10" s="132">
        <f>D10*J10</f>
        <v>23559.000883200002</v>
      </c>
      <c r="L10" s="131">
        <v>0.2</v>
      </c>
      <c r="M10" s="132">
        <f>D10*L10</f>
        <v>7853.000294400001</v>
      </c>
      <c r="N10" s="131"/>
      <c r="O10" s="132">
        <f>D10*N10</f>
        <v>0</v>
      </c>
      <c r="P10" s="131"/>
      <c r="Q10" s="132"/>
      <c r="R10" s="131"/>
      <c r="S10" s="132"/>
      <c r="T10" s="131"/>
      <c r="U10" s="132"/>
      <c r="V10" s="131"/>
      <c r="W10" s="132"/>
      <c r="X10" s="131"/>
      <c r="Y10" s="132"/>
      <c r="Z10" s="131"/>
      <c r="AA10" s="132"/>
    </row>
    <row r="11" spans="1:27" ht="15">
      <c r="A11" s="128">
        <v>6</v>
      </c>
      <c r="B11" s="129" t="str">
        <f>'PLANILHA QUADRA MODELO 3'!B81</f>
        <v>ALVENARIA</v>
      </c>
      <c r="C11" s="130">
        <f>'PLANILHA QUADRA MODELO 3'!G87</f>
        <v>15925.37</v>
      </c>
      <c r="D11" s="130">
        <f>C11*(1+'PLANILHA QUADRA MODELO 3'!C460)</f>
        <v>19569.094656</v>
      </c>
      <c r="E11" s="131">
        <f>D11/D27</f>
        <v>0.02687932199250292</v>
      </c>
      <c r="F11" s="131"/>
      <c r="G11" s="132"/>
      <c r="H11" s="131"/>
      <c r="I11" s="132"/>
      <c r="J11" s="131">
        <v>0.3</v>
      </c>
      <c r="K11" s="132">
        <f>D11*J11</f>
        <v>5870.7283968</v>
      </c>
      <c r="L11" s="131">
        <v>0.3</v>
      </c>
      <c r="M11" s="132">
        <f>D11*L11</f>
        <v>5870.7283968</v>
      </c>
      <c r="N11" s="131">
        <v>0.4</v>
      </c>
      <c r="O11" s="132">
        <f>D11*N11</f>
        <v>7827.637862400001</v>
      </c>
      <c r="P11" s="131"/>
      <c r="Q11" s="132"/>
      <c r="R11" s="131"/>
      <c r="S11" s="132"/>
      <c r="T11" s="131"/>
      <c r="U11" s="132"/>
      <c r="V11" s="131"/>
      <c r="W11" s="132"/>
      <c r="X11" s="131"/>
      <c r="Y11" s="132"/>
      <c r="Z11" s="131"/>
      <c r="AA11" s="132"/>
    </row>
    <row r="12" spans="1:27" ht="15">
      <c r="A12" s="128">
        <v>7</v>
      </c>
      <c r="B12" s="129" t="str">
        <f>'PLANILHA QUADRA MODELO 3'!B88</f>
        <v>COBERTURA E FORRO</v>
      </c>
      <c r="C12" s="130">
        <f>'PLANILHA QUADRA MODELO 3'!G102</f>
        <v>9988.560000000001</v>
      </c>
      <c r="D12" s="130">
        <f>C12*(1+'PLANILHA QUADRA MODELO 3'!C460)</f>
        <v>12273.942528000003</v>
      </c>
      <c r="E12" s="131">
        <f aca="true" t="shared" si="0" ref="E12:E25">D12/$D$27</f>
        <v>0.016858994201166756</v>
      </c>
      <c r="F12" s="131"/>
      <c r="G12" s="132"/>
      <c r="H12" s="131"/>
      <c r="I12" s="132"/>
      <c r="J12" s="131"/>
      <c r="K12" s="132"/>
      <c r="L12" s="131"/>
      <c r="M12" s="132"/>
      <c r="N12" s="131"/>
      <c r="O12" s="132"/>
      <c r="P12" s="131"/>
      <c r="Q12" s="132"/>
      <c r="R12" s="131">
        <v>0.5</v>
      </c>
      <c r="S12" s="132">
        <f>D12*R12</f>
        <v>6136.971264000002</v>
      </c>
      <c r="T12" s="131">
        <v>0.5</v>
      </c>
      <c r="U12" s="132">
        <f aca="true" t="shared" si="1" ref="U12:U20">D12*T12</f>
        <v>6136.971264000002</v>
      </c>
      <c r="V12" s="131"/>
      <c r="W12" s="132"/>
      <c r="X12" s="131"/>
      <c r="Y12" s="132"/>
      <c r="Z12" s="131"/>
      <c r="AA12" s="132"/>
    </row>
    <row r="13" spans="1:27" ht="30">
      <c r="A13" s="128">
        <v>8</v>
      </c>
      <c r="B13" s="129" t="str">
        <f>'PLANILHA QUADRA MODELO 3'!B103</f>
        <v>INSTALAÇÕES HIDRÁULICAS</v>
      </c>
      <c r="C13" s="130">
        <f>'PLANILHA QUADRA MODELO 3'!G178</f>
        <v>11573.98</v>
      </c>
      <c r="D13" s="130">
        <f>C13*(1+'PLANILHA QUADRA MODELO 3'!C460)</f>
        <v>14222.106624</v>
      </c>
      <c r="E13" s="131">
        <f t="shared" si="0"/>
        <v>0.019534914112186337</v>
      </c>
      <c r="F13" s="131"/>
      <c r="G13" s="132"/>
      <c r="H13" s="131"/>
      <c r="I13" s="132"/>
      <c r="J13" s="131">
        <v>0.1</v>
      </c>
      <c r="K13" s="132">
        <f>D13*J13</f>
        <v>1422.2106624</v>
      </c>
      <c r="L13" s="131">
        <v>0.3</v>
      </c>
      <c r="M13" s="132">
        <f>D13*L13</f>
        <v>4266.6319871999995</v>
      </c>
      <c r="N13" s="131">
        <v>0.1</v>
      </c>
      <c r="O13" s="132">
        <f>D13*N13</f>
        <v>1422.2106624</v>
      </c>
      <c r="P13" s="131">
        <v>0.1</v>
      </c>
      <c r="Q13" s="132">
        <f>D13*P13</f>
        <v>1422.2106624</v>
      </c>
      <c r="R13" s="131">
        <v>0.2</v>
      </c>
      <c r="S13" s="132">
        <f>D13*R13</f>
        <v>2844.4213248</v>
      </c>
      <c r="T13" s="131">
        <v>0.2</v>
      </c>
      <c r="U13" s="132">
        <f t="shared" si="1"/>
        <v>2844.4213248</v>
      </c>
      <c r="V13" s="131"/>
      <c r="W13" s="132">
        <f>D13*V13</f>
        <v>0</v>
      </c>
      <c r="X13" s="131"/>
      <c r="Y13" s="132"/>
      <c r="Z13" s="131"/>
      <c r="AA13" s="132"/>
    </row>
    <row r="14" spans="1:27" ht="15">
      <c r="A14" s="128">
        <v>9</v>
      </c>
      <c r="B14" s="129" t="str">
        <f>'PLANILHA QUADRA MODELO 3'!B179</f>
        <v>INSTALAÇÕES SANITÁRIAS</v>
      </c>
      <c r="C14" s="130">
        <f>'PLANILHA QUADRA MODELO 3'!G200</f>
        <v>12879.15</v>
      </c>
      <c r="D14" s="130">
        <f>C14*(1+'PLANILHA QUADRA MODELO 3'!C460)</f>
        <v>15825.89952</v>
      </c>
      <c r="E14" s="131">
        <f t="shared" si="0"/>
        <v>0.021737819582197712</v>
      </c>
      <c r="F14" s="131"/>
      <c r="G14" s="132"/>
      <c r="H14" s="131"/>
      <c r="I14" s="132"/>
      <c r="J14" s="131"/>
      <c r="K14" s="132"/>
      <c r="L14" s="131">
        <v>0.1</v>
      </c>
      <c r="M14" s="132">
        <f>D14*L14</f>
        <v>1582.5899520000003</v>
      </c>
      <c r="N14" s="131">
        <v>0.1</v>
      </c>
      <c r="O14" s="132">
        <f>D14*N14</f>
        <v>1582.5899520000003</v>
      </c>
      <c r="P14" s="131">
        <v>0.1</v>
      </c>
      <c r="Q14" s="132">
        <f>D14*P14</f>
        <v>1582.5899520000003</v>
      </c>
      <c r="R14" s="131">
        <v>0.35</v>
      </c>
      <c r="S14" s="132">
        <f>D14*R14</f>
        <v>5539.064832</v>
      </c>
      <c r="T14" s="131">
        <v>0.2</v>
      </c>
      <c r="U14" s="132">
        <f t="shared" si="1"/>
        <v>3165.1799040000005</v>
      </c>
      <c r="V14" s="131">
        <v>0.15</v>
      </c>
      <c r="W14" s="132">
        <f>D14*V14</f>
        <v>2373.884928</v>
      </c>
      <c r="X14" s="131"/>
      <c r="Y14" s="132">
        <f>D14*X14</f>
        <v>0</v>
      </c>
      <c r="Z14" s="131"/>
      <c r="AA14" s="132"/>
    </row>
    <row r="15" spans="1:27" ht="15">
      <c r="A15" s="128">
        <v>10</v>
      </c>
      <c r="B15" s="129" t="str">
        <f>'PLANILHA QUADRA MODELO 3'!B201</f>
        <v>INSTALAÇÃO ELÉTRICA</v>
      </c>
      <c r="C15" s="130">
        <f>'PLANILHA QUADRA MODELO 3'!G289</f>
        <v>19191.69</v>
      </c>
      <c r="D15" s="130">
        <f>C15*(1+'PLANILHA QUADRA MODELO 3'!C460)</f>
        <v>23582.748672</v>
      </c>
      <c r="E15" s="131">
        <f t="shared" si="0"/>
        <v>0.03239231585139299</v>
      </c>
      <c r="F15" s="131"/>
      <c r="G15" s="132"/>
      <c r="H15" s="131"/>
      <c r="I15" s="132"/>
      <c r="J15" s="131"/>
      <c r="K15" s="132"/>
      <c r="L15" s="131">
        <v>0.1</v>
      </c>
      <c r="M15" s="132">
        <f>D15*L15</f>
        <v>2358.2748672000002</v>
      </c>
      <c r="N15" s="131">
        <v>0.1</v>
      </c>
      <c r="O15" s="132">
        <f>D15*N15</f>
        <v>2358.2748672000002</v>
      </c>
      <c r="P15" s="131">
        <v>0.1</v>
      </c>
      <c r="Q15" s="132">
        <f>D15*P15</f>
        <v>2358.2748672000002</v>
      </c>
      <c r="R15" s="131">
        <v>0.35</v>
      </c>
      <c r="S15" s="132">
        <f>D15*R15</f>
        <v>8253.9620352</v>
      </c>
      <c r="T15" s="131">
        <v>0.2</v>
      </c>
      <c r="U15" s="132">
        <f t="shared" si="1"/>
        <v>4716.5497344000005</v>
      </c>
      <c r="V15" s="131">
        <v>0.15</v>
      </c>
      <c r="W15" s="132">
        <f>D15*V15</f>
        <v>3537.4123008</v>
      </c>
      <c r="X15" s="131"/>
      <c r="Y15" s="132">
        <f>D15*X15</f>
        <v>0</v>
      </c>
      <c r="Z15" s="131"/>
      <c r="AA15" s="132"/>
    </row>
    <row r="16" spans="1:27" ht="15">
      <c r="A16" s="128">
        <v>12</v>
      </c>
      <c r="B16" s="129" t="str">
        <f>'PLANILHA QUADRA MODELO 3'!B290</f>
        <v>ESQUADRIAS METÁLICAS</v>
      </c>
      <c r="C16" s="130">
        <f>'PLANILHA QUADRA MODELO 3'!G299</f>
        <v>4709.74</v>
      </c>
      <c r="D16" s="130">
        <f>C16*(1+'PLANILHA QUADRA MODELO 3'!C460)</f>
        <v>5787.328512</v>
      </c>
      <c r="E16" s="131">
        <f t="shared" si="0"/>
        <v>0.00794924186759684</v>
      </c>
      <c r="F16" s="131"/>
      <c r="G16" s="132"/>
      <c r="H16" s="131"/>
      <c r="I16" s="132"/>
      <c r="J16" s="131"/>
      <c r="K16" s="132"/>
      <c r="L16" s="131"/>
      <c r="M16" s="132"/>
      <c r="N16" s="131"/>
      <c r="O16" s="132"/>
      <c r="P16" s="131"/>
      <c r="Q16" s="132"/>
      <c r="R16" s="131"/>
      <c r="S16" s="132"/>
      <c r="T16" s="131">
        <v>0.35</v>
      </c>
      <c r="U16" s="132">
        <f t="shared" si="1"/>
        <v>2025.5649792</v>
      </c>
      <c r="V16" s="131">
        <v>0.65</v>
      </c>
      <c r="W16" s="132">
        <f>D16*V16</f>
        <v>3761.7635328</v>
      </c>
      <c r="X16" s="131"/>
      <c r="Y16" s="132">
        <f>D16*X16</f>
        <v>0</v>
      </c>
      <c r="Z16" s="131"/>
      <c r="AA16" s="132"/>
    </row>
    <row r="17" spans="1:27" ht="15">
      <c r="A17" s="128">
        <v>13</v>
      </c>
      <c r="B17" s="129" t="str">
        <f>'PLANILHA QUADRA MODELO 3'!B300</f>
        <v>FERRAGENS</v>
      </c>
      <c r="C17" s="130">
        <f>'PLANILHA QUADRA MODELO 3'!G317</f>
        <v>22121.36</v>
      </c>
      <c r="D17" s="130">
        <f>C17*(1+'PLANILHA QUADRA MODELO 3'!C460)</f>
        <v>27182.727168000005</v>
      </c>
      <c r="E17" s="131">
        <f t="shared" si="0"/>
        <v>0.03733710164046892</v>
      </c>
      <c r="F17" s="131"/>
      <c r="G17" s="132"/>
      <c r="H17" s="131"/>
      <c r="I17" s="132"/>
      <c r="J17" s="131"/>
      <c r="K17" s="132"/>
      <c r="L17" s="131"/>
      <c r="M17" s="132"/>
      <c r="N17" s="131"/>
      <c r="O17" s="132"/>
      <c r="P17" s="131"/>
      <c r="Q17" s="132"/>
      <c r="R17" s="131"/>
      <c r="S17" s="132"/>
      <c r="T17" s="131">
        <v>0.4</v>
      </c>
      <c r="U17" s="132">
        <f t="shared" si="1"/>
        <v>10873.090867200002</v>
      </c>
      <c r="V17" s="131">
        <v>0.6000000000000001</v>
      </c>
      <c r="W17" s="132">
        <f>D17*V17</f>
        <v>16309.636300800006</v>
      </c>
      <c r="X17" s="131"/>
      <c r="Y17" s="132"/>
      <c r="Z17" s="131"/>
      <c r="AA17" s="132"/>
    </row>
    <row r="18" spans="1:27" ht="15">
      <c r="A18" s="128">
        <v>14</v>
      </c>
      <c r="B18" s="129" t="str">
        <f>'PLANILHA QUADRA MODELO 3'!B318</f>
        <v>REVESTIMENTO</v>
      </c>
      <c r="C18" s="130">
        <f>'PLANILHA QUADRA MODELO 3'!G334</f>
        <v>22908.83</v>
      </c>
      <c r="D18" s="130">
        <f>C18*(1+'PLANILHA QUADRA MODELO 3'!C460)</f>
        <v>28150.370304000004</v>
      </c>
      <c r="E18" s="131">
        <f t="shared" si="0"/>
        <v>0.038666217365217304</v>
      </c>
      <c r="F18" s="131"/>
      <c r="G18" s="132"/>
      <c r="H18" s="131"/>
      <c r="I18" s="132"/>
      <c r="J18" s="131"/>
      <c r="K18" s="132"/>
      <c r="L18" s="131"/>
      <c r="M18" s="132"/>
      <c r="N18" s="131"/>
      <c r="O18" s="132"/>
      <c r="P18" s="131">
        <v>0.35</v>
      </c>
      <c r="Q18" s="132">
        <f>D18*P18</f>
        <v>9852.6296064</v>
      </c>
      <c r="R18" s="131">
        <v>0.35</v>
      </c>
      <c r="S18" s="132">
        <f>D18*R18</f>
        <v>9852.6296064</v>
      </c>
      <c r="T18" s="131">
        <v>0.30000000000000004</v>
      </c>
      <c r="U18" s="132">
        <f t="shared" si="1"/>
        <v>8445.111091200002</v>
      </c>
      <c r="V18" s="131"/>
      <c r="W18" s="132"/>
      <c r="X18" s="131"/>
      <c r="Y18" s="132"/>
      <c r="Z18" s="131"/>
      <c r="AA18" s="132"/>
    </row>
    <row r="19" spans="1:27" ht="15">
      <c r="A19" s="128">
        <v>15</v>
      </c>
      <c r="B19" s="129" t="str">
        <f>'PLANILHA QUADRA MODELO 3'!B335</f>
        <v>PISOS E RODAPÉS</v>
      </c>
      <c r="C19" s="130">
        <f>'PLANILHA QUADRA MODELO 3'!G355</f>
        <v>24125.07587776</v>
      </c>
      <c r="D19" s="130">
        <f>C19*(1+'PLANILHA QUADRA MODELO 3'!C460)</f>
        <v>29644.89323859149</v>
      </c>
      <c r="E19" s="131">
        <f t="shared" si="0"/>
        <v>0.04071903400749095</v>
      </c>
      <c r="F19" s="131"/>
      <c r="G19" s="132"/>
      <c r="H19" s="131"/>
      <c r="I19" s="132"/>
      <c r="J19" s="131"/>
      <c r="K19" s="132"/>
      <c r="L19" s="131"/>
      <c r="M19" s="132"/>
      <c r="N19" s="131"/>
      <c r="O19" s="132"/>
      <c r="P19" s="131"/>
      <c r="Q19" s="132"/>
      <c r="R19" s="131">
        <v>0.35</v>
      </c>
      <c r="S19" s="132">
        <f>D19*R19</f>
        <v>10375.71263350702</v>
      </c>
      <c r="T19" s="131">
        <v>0.35</v>
      </c>
      <c r="U19" s="132">
        <f t="shared" si="1"/>
        <v>10375.71263350702</v>
      </c>
      <c r="V19" s="131">
        <v>0.30000000000000004</v>
      </c>
      <c r="W19" s="132">
        <f>D19*V19</f>
        <v>8893.467971577447</v>
      </c>
      <c r="X19" s="131"/>
      <c r="Y19" s="132"/>
      <c r="Z19" s="131"/>
      <c r="AA19" s="132"/>
    </row>
    <row r="20" spans="1:27" ht="15">
      <c r="A20" s="128">
        <v>17</v>
      </c>
      <c r="B20" s="129" t="str">
        <f>'PLANILHA QUADRA MODELO 3'!B356</f>
        <v>PINTURA</v>
      </c>
      <c r="C20" s="130">
        <f>'PLANILHA QUADRA MODELO 3'!G366</f>
        <v>11743.33</v>
      </c>
      <c r="D20" s="130">
        <f>C20*(1+'PLANILHA QUADRA MODELO 3'!C460)</f>
        <v>14430.203904000002</v>
      </c>
      <c r="E20" s="131">
        <f t="shared" si="0"/>
        <v>0.01982074817314884</v>
      </c>
      <c r="F20" s="131"/>
      <c r="G20" s="132"/>
      <c r="H20" s="131"/>
      <c r="I20" s="132"/>
      <c r="J20" s="131"/>
      <c r="K20" s="132"/>
      <c r="L20" s="131"/>
      <c r="M20" s="132"/>
      <c r="N20" s="131"/>
      <c r="O20" s="132"/>
      <c r="P20" s="131"/>
      <c r="Q20" s="132"/>
      <c r="R20" s="131"/>
      <c r="S20" s="132"/>
      <c r="T20" s="131">
        <v>0.2</v>
      </c>
      <c r="U20" s="132">
        <f t="shared" si="1"/>
        <v>2886.0407808000004</v>
      </c>
      <c r="V20" s="131">
        <v>0.8</v>
      </c>
      <c r="W20" s="132">
        <f>D20*V20</f>
        <v>11544.163123200002</v>
      </c>
      <c r="X20" s="131"/>
      <c r="Y20" s="132">
        <f>D20*X20</f>
        <v>0</v>
      </c>
      <c r="Z20" s="131"/>
      <c r="AA20" s="132">
        <f>D20*Z20</f>
        <v>0</v>
      </c>
    </row>
    <row r="21" spans="1:27" ht="51.75" customHeight="1">
      <c r="A21" s="128">
        <v>18</v>
      </c>
      <c r="B21" s="129" t="str">
        <f>'PLANILHA QUADRA MODELO 3'!B367</f>
        <v>BANCADAS, PRATELEIRAS E DIVISÓRIAS</v>
      </c>
      <c r="C21" s="130">
        <f>'PLANILHA QUADRA MODELO 3'!G376</f>
        <v>103.95</v>
      </c>
      <c r="D21" s="130">
        <f>C21*(1+'PLANILHA QUADRA MODELO 3'!C460)</f>
        <v>127.73376000000002</v>
      </c>
      <c r="E21" s="131">
        <f t="shared" si="0"/>
        <v>0.00017544995947476753</v>
      </c>
      <c r="F21" s="131"/>
      <c r="G21" s="132"/>
      <c r="H21" s="131"/>
      <c r="I21" s="132"/>
      <c r="J21" s="131"/>
      <c r="K21" s="132"/>
      <c r="L21" s="131"/>
      <c r="M21" s="132"/>
      <c r="N21" s="131"/>
      <c r="O21" s="132"/>
      <c r="P21" s="131">
        <v>0.5</v>
      </c>
      <c r="Q21" s="132">
        <f>D21*P21</f>
        <v>63.86688000000001</v>
      </c>
      <c r="R21" s="131">
        <v>0.5</v>
      </c>
      <c r="S21" s="132">
        <f>D21*R21</f>
        <v>63.86688000000001</v>
      </c>
      <c r="T21" s="131"/>
      <c r="U21" s="132"/>
      <c r="V21" s="131"/>
      <c r="W21" s="132"/>
      <c r="X21" s="131"/>
      <c r="Y21" s="132"/>
      <c r="Z21" s="131"/>
      <c r="AA21" s="132"/>
    </row>
    <row r="22" spans="1:27" ht="15">
      <c r="A22" s="128">
        <v>20</v>
      </c>
      <c r="B22" s="129" t="str">
        <f>'PLANILHA QUADRA MODELO 3'!B377</f>
        <v>QUADRA</v>
      </c>
      <c r="C22" s="130">
        <f>'PLANILHA QUADRA MODELO 3'!G419</f>
        <v>298281.16000000003</v>
      </c>
      <c r="D22" s="130">
        <f>C22*(1+'PLANILHA QUADRA MODELO 3'!C460)</f>
        <v>366527.88940800005</v>
      </c>
      <c r="E22" s="131">
        <f t="shared" si="0"/>
        <v>0.5034479791638927</v>
      </c>
      <c r="F22" s="131"/>
      <c r="G22" s="132"/>
      <c r="H22" s="131"/>
      <c r="I22" s="132"/>
      <c r="J22" s="131">
        <v>0.1</v>
      </c>
      <c r="K22" s="132">
        <f>D22*J22</f>
        <v>36652.788940800005</v>
      </c>
      <c r="L22" s="131">
        <v>0.1</v>
      </c>
      <c r="M22" s="132">
        <f>D22*L22</f>
        <v>36652.788940800005</v>
      </c>
      <c r="N22" s="131">
        <v>0.1</v>
      </c>
      <c r="O22" s="132">
        <f>D22*N22</f>
        <v>36652.788940800005</v>
      </c>
      <c r="P22" s="131">
        <v>0.2</v>
      </c>
      <c r="Q22" s="132">
        <f>D22*P22</f>
        <v>73305.57788160001</v>
      </c>
      <c r="R22" s="131">
        <v>0.1</v>
      </c>
      <c r="S22" s="132">
        <f>D22*R22</f>
        <v>36652.788940800005</v>
      </c>
      <c r="T22" s="131">
        <v>0.1</v>
      </c>
      <c r="U22" s="132">
        <f>D22*T22</f>
        <v>36652.788940800005</v>
      </c>
      <c r="V22" s="131">
        <v>0.2</v>
      </c>
      <c r="W22" s="132">
        <f>D22*V22</f>
        <v>73305.57788160001</v>
      </c>
      <c r="X22" s="131">
        <v>0.1</v>
      </c>
      <c r="Y22" s="132">
        <f>D22*X22</f>
        <v>36652.788940800005</v>
      </c>
      <c r="Z22" s="131"/>
      <c r="AA22" s="132"/>
    </row>
    <row r="23" spans="1:27" ht="15">
      <c r="A23" s="128">
        <v>23</v>
      </c>
      <c r="B23" s="129" t="s">
        <v>441</v>
      </c>
      <c r="C23" s="130">
        <f>'PLANILHA QUADRA MODELO 3'!G428</f>
        <v>5232.5599999999995</v>
      </c>
      <c r="D23" s="130">
        <f>C23*(1+'PLANILHA QUADRA MODELO 3'!C460)</f>
        <v>6429.769728</v>
      </c>
      <c r="E23" s="131">
        <f t="shared" si="0"/>
        <v>0.00883167330398547</v>
      </c>
      <c r="F23" s="131"/>
      <c r="G23" s="132"/>
      <c r="H23" s="131"/>
      <c r="I23" s="132"/>
      <c r="J23" s="131"/>
      <c r="K23" s="132"/>
      <c r="L23" s="131"/>
      <c r="M23" s="132">
        <f>D23*L23</f>
        <v>0</v>
      </c>
      <c r="N23" s="131"/>
      <c r="O23" s="132">
        <f>D23*N23</f>
        <v>0</v>
      </c>
      <c r="P23" s="131"/>
      <c r="Q23" s="132">
        <f>D23*P23</f>
        <v>0</v>
      </c>
      <c r="R23" s="131"/>
      <c r="S23" s="132">
        <f>D23*R23</f>
        <v>0</v>
      </c>
      <c r="T23" s="131"/>
      <c r="U23" s="132">
        <f>D23*T23</f>
        <v>0</v>
      </c>
      <c r="V23" s="131"/>
      <c r="W23" s="132">
        <f>D23*V23</f>
        <v>0</v>
      </c>
      <c r="X23" s="131">
        <v>1</v>
      </c>
      <c r="Y23" s="132">
        <f>D23*X23</f>
        <v>6429.769728</v>
      </c>
      <c r="Z23" s="131"/>
      <c r="AA23" s="132">
        <f>D23*Z23</f>
        <v>0</v>
      </c>
    </row>
    <row r="24" spans="1:27" ht="30">
      <c r="A24" s="128">
        <v>24</v>
      </c>
      <c r="B24" s="129" t="s">
        <v>450</v>
      </c>
      <c r="C24" s="130">
        <f>'PLANILHA QUADRA MODELO 3'!G453</f>
        <v>0</v>
      </c>
      <c r="D24" s="130">
        <f>C24*(1+'PLANILHA QUADRA MODELO 3'!C459)</f>
        <v>0</v>
      </c>
      <c r="E24" s="131">
        <f t="shared" si="0"/>
        <v>0</v>
      </c>
      <c r="F24" s="131"/>
      <c r="G24" s="132">
        <f>D24*F24</f>
        <v>0</v>
      </c>
      <c r="H24" s="131"/>
      <c r="I24" s="132">
        <f>D24*H24</f>
        <v>0</v>
      </c>
      <c r="J24" s="131"/>
      <c r="K24" s="132"/>
      <c r="L24" s="131"/>
      <c r="M24" s="132"/>
      <c r="N24" s="131"/>
      <c r="O24" s="132"/>
      <c r="P24" s="131"/>
      <c r="Q24" s="132"/>
      <c r="R24" s="131"/>
      <c r="S24" s="132"/>
      <c r="T24" s="131"/>
      <c r="U24" s="132"/>
      <c r="V24" s="131"/>
      <c r="W24" s="132"/>
      <c r="X24" s="131"/>
      <c r="Y24" s="132"/>
      <c r="Z24" s="131"/>
      <c r="AA24" s="132"/>
    </row>
    <row r="25" spans="1:27" ht="15">
      <c r="A25" s="128">
        <v>26</v>
      </c>
      <c r="B25" s="129" t="s">
        <v>472</v>
      </c>
      <c r="C25" s="130">
        <f>'PLANILHA QUADRA MODELO 3'!G457</f>
        <v>140.35</v>
      </c>
      <c r="D25" s="130">
        <f>C25*(1+'PLANILHA QUADRA MODELO 3'!C460)</f>
        <v>172.46208000000001</v>
      </c>
      <c r="E25" s="131">
        <f t="shared" si="0"/>
        <v>0.00023688698232115078</v>
      </c>
      <c r="F25" s="131"/>
      <c r="G25" s="132">
        <f>D25*F25</f>
        <v>0</v>
      </c>
      <c r="H25" s="131"/>
      <c r="I25" s="132">
        <f>D25*H25</f>
        <v>0</v>
      </c>
      <c r="J25" s="131"/>
      <c r="K25" s="132"/>
      <c r="L25" s="131"/>
      <c r="M25" s="132"/>
      <c r="N25" s="131"/>
      <c r="O25" s="132"/>
      <c r="P25" s="131"/>
      <c r="Q25" s="132"/>
      <c r="R25" s="131"/>
      <c r="S25" s="132"/>
      <c r="T25" s="131"/>
      <c r="U25" s="132"/>
      <c r="V25" s="131">
        <v>1</v>
      </c>
      <c r="W25" s="132">
        <f>D25*V25</f>
        <v>172.46208000000001</v>
      </c>
      <c r="X25" s="131"/>
      <c r="Y25" s="132"/>
      <c r="Z25" s="131"/>
      <c r="AA25" s="132"/>
    </row>
    <row r="26" spans="1:28" ht="12.75" customHeight="1">
      <c r="A26" s="213" t="s">
        <v>500</v>
      </c>
      <c r="B26" s="213"/>
      <c r="C26" s="130"/>
      <c r="D26" s="130"/>
      <c r="E26" s="131"/>
      <c r="F26" s="131">
        <f>G26/D27</f>
        <v>0.09426512719764739</v>
      </c>
      <c r="G26" s="132">
        <f>SUM(G7:G25)</f>
        <v>68628.3380736</v>
      </c>
      <c r="H26" s="131">
        <f>I26/D27</f>
        <v>0.0880009121419032</v>
      </c>
      <c r="I26" s="132">
        <f>SUM(I7:I25)</f>
        <v>64067.76852480001</v>
      </c>
      <c r="J26" s="131">
        <f>K26/D27</f>
        <v>0.09272178276841306</v>
      </c>
      <c r="K26" s="132">
        <f>SUM(K7:K25)</f>
        <v>67504.7288832</v>
      </c>
      <c r="L26" s="131">
        <f>M26/D27</f>
        <v>0.08046864790550655</v>
      </c>
      <c r="M26" s="132">
        <f>SUM(M7:M25)</f>
        <v>58584.01443840001</v>
      </c>
      <c r="N26" s="131">
        <f>O26/D27</f>
        <v>0.06846303166796815</v>
      </c>
      <c r="O26" s="132">
        <f>SUM(O7:O25)</f>
        <v>49843.50228480001</v>
      </c>
      <c r="P26" s="131">
        <f>Q26/D27</f>
        <v>0.1216770018449197</v>
      </c>
      <c r="Q26" s="132">
        <f>SUM(Q7:Q25)</f>
        <v>88585.14984960001</v>
      </c>
      <c r="R26" s="131">
        <f>S26/D27</f>
        <v>0.10949938820135195</v>
      </c>
      <c r="S26" s="132">
        <f>SUM(S7:S25)</f>
        <v>79719.41751670704</v>
      </c>
      <c r="T26" s="131">
        <f>U26/D27</f>
        <v>0.12104005698279131</v>
      </c>
      <c r="U26" s="132">
        <f>SUM(U7:U25)</f>
        <v>88121.43151990703</v>
      </c>
      <c r="V26" s="131">
        <f>W26/D27</f>
        <v>0.16468758006912396</v>
      </c>
      <c r="W26" s="132">
        <f>SUM(W7:W25)</f>
        <v>119898.36811877746</v>
      </c>
      <c r="X26" s="131">
        <f>Y26/D27</f>
        <v>0.05917647122037475</v>
      </c>
      <c r="Y26" s="132">
        <f>SUM(Y7:Y25)</f>
        <v>43082.558668800004</v>
      </c>
      <c r="Z26" s="131">
        <f>AA26/D27</f>
        <v>0</v>
      </c>
      <c r="AA26" s="132">
        <f>SUM(AA7:AA25)</f>
        <v>0</v>
      </c>
      <c r="AB26" s="134">
        <f>G26+I26+K26+M26+O26+Q26+S26+U26+W26+Y26+AA26</f>
        <v>728035.2778785917</v>
      </c>
    </row>
    <row r="27" spans="1:27" ht="12.75" customHeight="1">
      <c r="A27" s="213" t="s">
        <v>501</v>
      </c>
      <c r="B27" s="213"/>
      <c r="C27" s="135">
        <f>SUM(C7:C25)</f>
        <v>592476.6258777601</v>
      </c>
      <c r="D27" s="135">
        <f>SUM(D7:D25)</f>
        <v>728035.2778785916</v>
      </c>
      <c r="E27" s="136">
        <f>SUM(E7:E26)</f>
        <v>1</v>
      </c>
      <c r="F27" s="136">
        <f>G27/D27</f>
        <v>0.09426512719764739</v>
      </c>
      <c r="G27" s="137">
        <f>G26</f>
        <v>68628.3380736</v>
      </c>
      <c r="H27" s="136">
        <f>I27/D27</f>
        <v>0.1822660393395506</v>
      </c>
      <c r="I27" s="137">
        <f>G27+I26</f>
        <v>132696.10659840002</v>
      </c>
      <c r="J27" s="136">
        <f>K27/D27</f>
        <v>0.27498782210796363</v>
      </c>
      <c r="K27" s="137">
        <f>I27+K26</f>
        <v>200200.83548160002</v>
      </c>
      <c r="L27" s="136">
        <f>M27/D27</f>
        <v>0.3554564700134702</v>
      </c>
      <c r="M27" s="137">
        <f aca="true" t="shared" si="2" ref="M27:Y27">K27+M26</f>
        <v>258784.84992000004</v>
      </c>
      <c r="N27" s="136">
        <f t="shared" si="2"/>
        <v>0.4239195016814383</v>
      </c>
      <c r="O27" s="137">
        <f t="shared" si="2"/>
        <v>308628.35220480006</v>
      </c>
      <c r="P27" s="136">
        <f t="shared" si="2"/>
        <v>0.545596503526358</v>
      </c>
      <c r="Q27" s="137">
        <f t="shared" si="2"/>
        <v>397213.50205440004</v>
      </c>
      <c r="R27" s="136">
        <f t="shared" si="2"/>
        <v>0.65509589172771</v>
      </c>
      <c r="S27" s="137">
        <f t="shared" si="2"/>
        <v>476932.9195711071</v>
      </c>
      <c r="T27" s="136">
        <f t="shared" si="2"/>
        <v>0.7761359487105013</v>
      </c>
      <c r="U27" s="137">
        <f t="shared" si="2"/>
        <v>565054.3510910141</v>
      </c>
      <c r="V27" s="136">
        <f t="shared" si="2"/>
        <v>0.9408235287796253</v>
      </c>
      <c r="W27" s="137">
        <f t="shared" si="2"/>
        <v>684952.7192097916</v>
      </c>
      <c r="X27" s="136">
        <f t="shared" si="2"/>
        <v>1</v>
      </c>
      <c r="Y27" s="137">
        <f t="shared" si="2"/>
        <v>728035.2778785917</v>
      </c>
      <c r="Z27" s="136">
        <f>AA27/D27</f>
        <v>1.0000000000000002</v>
      </c>
      <c r="AA27" s="137">
        <f>Y27+AA26</f>
        <v>728035.2778785917</v>
      </c>
    </row>
    <row r="28" spans="1:27" ht="12.75" customHeight="1">
      <c r="A28" s="212" t="s">
        <v>502</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row>
    <row r="29" spans="1:27" ht="12.75" customHeight="1">
      <c r="A29" s="212" t="s">
        <v>539</v>
      </c>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row>
  </sheetData>
  <sheetProtection selectLockedCells="1" selectUnlockedCells="1"/>
  <mergeCells count="26">
    <mergeCell ref="A28:AA28"/>
    <mergeCell ref="A29:AA29"/>
    <mergeCell ref="T5:U5"/>
    <mergeCell ref="V5:W5"/>
    <mergeCell ref="X5:Y5"/>
    <mergeCell ref="Z5:AA5"/>
    <mergeCell ref="A26:B26"/>
    <mergeCell ref="A27:B27"/>
    <mergeCell ref="H5:I5"/>
    <mergeCell ref="J5:K5"/>
    <mergeCell ref="L5:M5"/>
    <mergeCell ref="N5:O5"/>
    <mergeCell ref="P5:Q5"/>
    <mergeCell ref="R5:S5"/>
    <mergeCell ref="A5:A6"/>
    <mergeCell ref="B5:B6"/>
    <mergeCell ref="C5:C6"/>
    <mergeCell ref="D5:D6"/>
    <mergeCell ref="E5:E6"/>
    <mergeCell ref="F5:G5"/>
    <mergeCell ref="A1:AA1"/>
    <mergeCell ref="B2:I2"/>
    <mergeCell ref="J2:AA2"/>
    <mergeCell ref="B3:I3"/>
    <mergeCell ref="J3:AA3"/>
    <mergeCell ref="B4:AA4"/>
  </mergeCells>
  <printOptions/>
  <pageMargins left="0.7874015748031497" right="0.7874015748031497" top="1.062992125984252" bottom="1.062992125984252" header="0.7874015748031497" footer="0.7874015748031497"/>
  <pageSetup horizontalDpi="300" verticalDpi="300" orientation="landscape" paperSize="9" scale="38"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ACER</cp:lastModifiedBy>
  <cp:lastPrinted>2024-01-22T13:16:40Z</cp:lastPrinted>
  <dcterms:created xsi:type="dcterms:W3CDTF">2021-11-19T17:05:17Z</dcterms:created>
  <dcterms:modified xsi:type="dcterms:W3CDTF">2024-01-22T13:34:45Z</dcterms:modified>
  <cp:category/>
  <cp:version/>
  <cp:contentType/>
  <cp:contentStatus/>
</cp:coreProperties>
</file>